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20115" windowHeight="7995"/>
  </bookViews>
  <sheets>
    <sheet name="Tabulky DMG" sheetId="1" r:id="rId1"/>
    <sheet name="_" sheetId="2" r:id="rId2"/>
    <sheet name="List1" sheetId="3" r:id="rId3"/>
  </sheets>
  <calcPr calcId="124519"/>
</workbook>
</file>

<file path=xl/calcChain.xml><?xml version="1.0" encoding="utf-8"?>
<calcChain xmlns="http://schemas.openxmlformats.org/spreadsheetml/2006/main">
  <c r="N1" i="2"/>
  <c r="G16" i="1"/>
  <c r="G15"/>
  <c r="J43"/>
  <c r="J42"/>
  <c r="J34"/>
  <c r="J33"/>
  <c r="J25"/>
  <c r="J16"/>
  <c r="J7"/>
  <c r="G43"/>
  <c r="G34"/>
  <c r="G25"/>
  <c r="J24"/>
  <c r="J15"/>
  <c r="J6"/>
  <c r="G42"/>
  <c r="G33"/>
  <c r="G24"/>
  <c r="J23"/>
  <c r="J14"/>
  <c r="J5"/>
  <c r="G41"/>
  <c r="G32"/>
  <c r="G23"/>
  <c r="G14"/>
  <c r="G6"/>
  <c r="G7"/>
  <c r="G5"/>
  <c r="J38"/>
  <c r="J37"/>
  <c r="J36"/>
  <c r="J35"/>
  <c r="J47"/>
  <c r="J46"/>
  <c r="J45"/>
  <c r="J44"/>
  <c r="J21"/>
  <c r="J20"/>
  <c r="J19"/>
  <c r="J18"/>
  <c r="J17"/>
  <c r="J30"/>
  <c r="J29"/>
  <c r="J28"/>
  <c r="J27"/>
  <c r="J26"/>
  <c r="G48"/>
  <c r="G47"/>
  <c r="G46"/>
  <c r="G45"/>
  <c r="G44"/>
  <c r="G39"/>
  <c r="G38"/>
  <c r="G37"/>
  <c r="G36"/>
  <c r="G35"/>
  <c r="G30"/>
  <c r="G29"/>
  <c r="G28"/>
  <c r="G27"/>
  <c r="G26"/>
  <c r="J12"/>
  <c r="J11"/>
  <c r="J10"/>
  <c r="J9"/>
  <c r="J8"/>
  <c r="G21"/>
  <c r="G20"/>
  <c r="G19"/>
  <c r="G18"/>
  <c r="G17"/>
  <c r="I48" l="1"/>
  <c r="I39"/>
  <c r="F40"/>
  <c r="I31"/>
  <c r="F31"/>
  <c r="F49"/>
  <c r="I22"/>
  <c r="J22"/>
  <c r="J31"/>
  <c r="G49"/>
  <c r="G40"/>
  <c r="G31"/>
  <c r="I13"/>
  <c r="J13"/>
  <c r="F22"/>
  <c r="G22"/>
  <c r="C47"/>
  <c r="G12" l="1"/>
  <c r="G11"/>
  <c r="G10"/>
  <c r="C6"/>
  <c r="G9"/>
  <c r="G8"/>
  <c r="C45"/>
  <c r="C46"/>
  <c r="B38"/>
  <c r="B41" s="1"/>
  <c r="G13" l="1"/>
  <c r="F13"/>
  <c r="B12" s="1"/>
  <c r="B48"/>
  <c r="B49" s="1"/>
  <c r="B40"/>
  <c r="B42"/>
  <c r="B39"/>
  <c r="C5" l="1"/>
  <c r="C7" l="1"/>
  <c r="B4"/>
  <c r="C11" l="1"/>
  <c r="B7"/>
  <c r="B11" s="1"/>
  <c r="B13" l="1"/>
  <c r="C12"/>
  <c r="C13" s="1"/>
  <c r="B33" l="1"/>
  <c r="B31"/>
  <c r="B34"/>
  <c r="B32"/>
  <c r="C23"/>
  <c r="C33"/>
  <c r="C31"/>
  <c r="C34"/>
  <c r="C32"/>
  <c r="B26"/>
  <c r="B24"/>
  <c r="B27"/>
  <c r="B30" s="1"/>
  <c r="B25"/>
  <c r="B23"/>
  <c r="B16"/>
  <c r="C16"/>
  <c r="C26"/>
  <c r="C24"/>
  <c r="C20"/>
  <c r="C18"/>
  <c r="C27"/>
  <c r="C30" s="1"/>
  <c r="C25"/>
  <c r="C15"/>
  <c r="C22" s="1"/>
  <c r="C19"/>
  <c r="C17"/>
  <c r="B20"/>
  <c r="B18"/>
  <c r="B15"/>
  <c r="B22" s="1"/>
  <c r="B19"/>
  <c r="B17"/>
</calcChain>
</file>

<file path=xl/comments1.xml><?xml version="1.0" encoding="utf-8"?>
<comments xmlns="http://schemas.openxmlformats.org/spreadsheetml/2006/main">
  <authors>
    <author>Jakub Balaj</author>
  </authors>
  <commentList>
    <comment ref="G5" authorId="0">
      <text>
        <r>
          <rPr>
            <b/>
            <sz val="9"/>
            <color indexed="81"/>
            <rFont val="Tahoma"/>
            <family val="2"/>
            <charset val="238"/>
          </rPr>
          <t>Zobrazuje počet slotů v letounu.</t>
        </r>
      </text>
    </comment>
    <comment ref="E11" authorId="0">
      <text>
        <r>
          <rPr>
            <b/>
            <sz val="9"/>
            <color indexed="81"/>
            <rFont val="Tahoma"/>
            <family val="2"/>
            <charset val="238"/>
          </rPr>
          <t>Kedže upgrade Flax má menší efekt, treba pri výpočte štítu použiť tento riadok upgradu stíhačky.</t>
        </r>
      </text>
    </comment>
    <comment ref="H11" authorId="0">
      <text>
        <r>
          <rPr>
            <b/>
            <sz val="9"/>
            <color indexed="81"/>
            <rFont val="Tahoma"/>
            <family val="2"/>
            <charset val="238"/>
          </rPr>
          <t>Kedže upgrade Flax má menší efekt, treba pri výpočte štítu použiť tento riadok upgradu stíhačky.</t>
        </r>
      </text>
    </comment>
    <comment ref="G13" authorId="0">
      <text>
        <r>
          <rPr>
            <b/>
            <sz val="9"/>
            <color indexed="81"/>
            <rFont val="Tahoma"/>
            <family val="2"/>
            <charset val="238"/>
          </rPr>
          <t>Hodnota štítu pri výbere stíhačky Flax</t>
        </r>
      </text>
    </comment>
    <comment ref="J13" authorId="0">
      <text>
        <r>
          <rPr>
            <b/>
            <sz val="9"/>
            <color indexed="81"/>
            <rFont val="Tahoma"/>
            <family val="2"/>
            <charset val="238"/>
          </rPr>
          <t>Hodnota štítu pri výbere stíhačky Flax</t>
        </r>
      </text>
    </comment>
    <comment ref="E20" authorId="0">
      <text>
        <r>
          <rPr>
            <b/>
            <sz val="9"/>
            <color indexed="81"/>
            <rFont val="Tahoma"/>
            <family val="2"/>
            <charset val="238"/>
          </rPr>
          <t>Kedže upgrade Flax má menší efekt, treba pri výpočte štítu použiť tento riadok upgradu stíhačky.</t>
        </r>
      </text>
    </comment>
    <comment ref="H20" authorId="0">
      <text>
        <r>
          <rPr>
            <b/>
            <sz val="9"/>
            <color indexed="81"/>
            <rFont val="Tahoma"/>
            <family val="2"/>
            <charset val="238"/>
          </rPr>
          <t>Kedže upgrade Flax má menší efekt, treba pri výpočte štítu použiť tento riadok upgradu stíhačky.</t>
        </r>
      </text>
    </comment>
    <comment ref="G22" authorId="0">
      <text>
        <r>
          <rPr>
            <b/>
            <sz val="9"/>
            <color indexed="81"/>
            <rFont val="Tahoma"/>
            <family val="2"/>
            <charset val="238"/>
          </rPr>
          <t>Hodnota štítu pri výbere stíhačky Flax</t>
        </r>
      </text>
    </comment>
    <comment ref="J22" authorId="0">
      <text>
        <r>
          <rPr>
            <b/>
            <sz val="9"/>
            <color indexed="81"/>
            <rFont val="Tahoma"/>
            <family val="2"/>
            <charset val="238"/>
          </rPr>
          <t>Hodnota štítu pri výbere stíhačky Flax</t>
        </r>
      </text>
    </comment>
    <comment ref="E29" authorId="0">
      <text>
        <r>
          <rPr>
            <b/>
            <sz val="9"/>
            <color indexed="81"/>
            <rFont val="Tahoma"/>
            <family val="2"/>
            <charset val="238"/>
          </rPr>
          <t>Kedže upgrade Flax má menší efekt, treba pri výpočte štítu použiť tento riadok upgradu stíhačky.</t>
        </r>
      </text>
    </comment>
    <comment ref="H29" authorId="0">
      <text>
        <r>
          <rPr>
            <b/>
            <sz val="9"/>
            <color indexed="81"/>
            <rFont val="Tahoma"/>
            <family val="2"/>
            <charset val="238"/>
          </rPr>
          <t>Kedže upgrade Flax má menší efekt, treba pri výpočte štítu použiť tento riadok upgradu stíhačky.</t>
        </r>
      </text>
    </comment>
    <comment ref="G31" authorId="0">
      <text>
        <r>
          <rPr>
            <b/>
            <sz val="9"/>
            <color indexed="81"/>
            <rFont val="Tahoma"/>
            <family val="2"/>
            <charset val="238"/>
          </rPr>
          <t>Hodnota štítu pri výbere stíhačky Flax</t>
        </r>
      </text>
    </comment>
    <comment ref="J31" authorId="0">
      <text>
        <r>
          <rPr>
            <b/>
            <sz val="9"/>
            <color indexed="81"/>
            <rFont val="Tahoma"/>
            <family val="2"/>
            <charset val="238"/>
          </rPr>
          <t>Hodnota štítu pri výbere stíhačky Flax</t>
        </r>
      </text>
    </comment>
    <comment ref="E38" authorId="0">
      <text>
        <r>
          <rPr>
            <b/>
            <sz val="9"/>
            <color indexed="81"/>
            <rFont val="Tahoma"/>
            <family val="2"/>
            <charset val="238"/>
          </rPr>
          <t>Kedže upgrade Flax má menší efekt, treba pri výpočte štítu použiť tento riadok upgradu stíhačky.</t>
        </r>
      </text>
    </comment>
    <comment ref="G40" authorId="0">
      <text>
        <r>
          <rPr>
            <b/>
            <sz val="9"/>
            <color indexed="81"/>
            <rFont val="Tahoma"/>
            <family val="2"/>
            <charset val="238"/>
          </rPr>
          <t>Hodnota štítu pri výbere stíhačky Flax</t>
        </r>
      </text>
    </comment>
    <comment ref="E47" authorId="0">
      <text>
        <r>
          <rPr>
            <b/>
            <sz val="9"/>
            <color indexed="81"/>
            <rFont val="Tahoma"/>
            <family val="2"/>
            <charset val="238"/>
          </rPr>
          <t>Kedže upgrade Flax má menší efekt, treba pri výpočte štítu použiť tento riadok upgradu stíhačky.</t>
        </r>
      </text>
    </comment>
    <comment ref="G49" authorId="0">
      <text>
        <r>
          <rPr>
            <b/>
            <sz val="9"/>
            <color indexed="81"/>
            <rFont val="Tahoma"/>
            <family val="2"/>
            <charset val="238"/>
          </rPr>
          <t>Hodnota štítu pri výbere stíhačky Flax</t>
        </r>
      </text>
    </comment>
  </commentList>
</comments>
</file>

<file path=xl/sharedStrings.xml><?xml version="1.0" encoding="utf-8"?>
<sst xmlns="http://schemas.openxmlformats.org/spreadsheetml/2006/main" count="165" uniqueCount="92">
  <si>
    <t>Goliath</t>
  </si>
  <si>
    <t>Nostromo</t>
  </si>
  <si>
    <t>Phenix</t>
  </si>
  <si>
    <t>Yamato</t>
  </si>
  <si>
    <t>Leonov</t>
  </si>
  <si>
    <t>Defcom</t>
  </si>
  <si>
    <t>Liberator</t>
  </si>
  <si>
    <t>Piranha</t>
  </si>
  <si>
    <t>Bigboy</t>
  </si>
  <si>
    <t>Vengeance</t>
  </si>
  <si>
    <t>Flax</t>
  </si>
  <si>
    <t>Iris</t>
  </si>
  <si>
    <t>Typ štítu</t>
  </si>
  <si>
    <t>LF-2</t>
  </si>
  <si>
    <t>LF-3</t>
  </si>
  <si>
    <t>LF-4</t>
  </si>
  <si>
    <t>Level druhého laseru (1-16)</t>
  </si>
  <si>
    <t>Loď a drony + Seprom 60%</t>
  </si>
  <si>
    <t>Loď a drony + Design 5%</t>
  </si>
  <si>
    <t>Loď a drony + Booster 10%</t>
  </si>
  <si>
    <t>Loď a drony + Distribučný booster 10%</t>
  </si>
  <si>
    <t>Rakety</t>
  </si>
  <si>
    <t>Raketa + seprom 60%</t>
  </si>
  <si>
    <r>
      <t xml:space="preserve">Loď a drony + Kvantová optika </t>
    </r>
    <r>
      <rPr>
        <sz val="11"/>
        <color theme="1"/>
        <rFont val="Times New Roman"/>
        <family val="1"/>
        <charset val="238"/>
      </rPr>
      <t>I</t>
    </r>
    <r>
      <rPr>
        <sz val="11"/>
        <color theme="1"/>
        <rFont val="Calibri"/>
        <family val="2"/>
        <charset val="238"/>
        <scheme val="minor"/>
      </rPr>
      <t xml:space="preserve">  4%</t>
    </r>
  </si>
  <si>
    <r>
      <t xml:space="preserve">Loď a drony + Kvantová Optika </t>
    </r>
    <r>
      <rPr>
        <sz val="11"/>
        <color theme="1"/>
        <rFont val="Times New Roman"/>
        <family val="1"/>
        <charset val="238"/>
      </rPr>
      <t>II</t>
    </r>
    <r>
      <rPr>
        <sz val="11"/>
        <color theme="1"/>
        <rFont val="Calibri"/>
        <family val="2"/>
        <charset val="238"/>
        <scheme val="minor"/>
      </rPr>
      <t xml:space="preserve"> 12%</t>
    </r>
  </si>
  <si>
    <r>
      <t xml:space="preserve">Loď a drony + Kvantová Optika </t>
    </r>
    <r>
      <rPr>
        <sz val="11"/>
        <color theme="1"/>
        <rFont val="Times New Roman"/>
        <family val="1"/>
        <charset val="238"/>
      </rPr>
      <t>I 4</t>
    </r>
    <r>
      <rPr>
        <sz val="11"/>
        <color theme="1"/>
        <rFont val="Calibri"/>
        <family val="2"/>
        <charset val="238"/>
        <scheme val="minor"/>
      </rPr>
      <t>%</t>
    </r>
  </si>
  <si>
    <t>Raketomet</t>
  </si>
  <si>
    <t>Typ raketometu</t>
  </si>
  <si>
    <t>R310</t>
  </si>
  <si>
    <t>PLT-2026</t>
  </si>
  <si>
    <t>PLT-2021</t>
  </si>
  <si>
    <t>PLT-3030</t>
  </si>
  <si>
    <t>HST-1</t>
  </si>
  <si>
    <t>HST-2</t>
  </si>
  <si>
    <t>HSTRM-01</t>
  </si>
  <si>
    <t>ECO-10</t>
  </si>
  <si>
    <t>Level raketometu (uprade: 1-16)</t>
  </si>
  <si>
    <t>Vyber</t>
  </si>
  <si>
    <t>Apis (mám     )</t>
  </si>
  <si>
    <t>Zeus (mám     )</t>
  </si>
  <si>
    <t>Typ lodě</t>
  </si>
  <si>
    <t>Počet slotů</t>
  </si>
  <si>
    <t>Počet laserů v lodi</t>
  </si>
  <si>
    <t>Level laserů (1-16)</t>
  </si>
  <si>
    <t>Hodnota DMG způsobený lodí</t>
  </si>
  <si>
    <t>Ano</t>
  </si>
  <si>
    <t>Ne</t>
  </si>
  <si>
    <t>DMG z lodě</t>
  </si>
  <si>
    <r>
      <t xml:space="preserve">Všechno vyšší + Kvantová optika </t>
    </r>
    <r>
      <rPr>
        <sz val="11"/>
        <color theme="1"/>
        <rFont val="Times New Roman"/>
        <family val="1"/>
        <charset val="238"/>
      </rPr>
      <t>II 12</t>
    </r>
    <r>
      <rPr>
        <sz val="11"/>
        <color theme="1"/>
        <rFont val="Calibri"/>
        <family val="2"/>
        <charset val="238"/>
        <scheme val="minor"/>
      </rPr>
      <t>%</t>
    </r>
  </si>
  <si>
    <t>Všechno vyšší + Seprom 60%</t>
  </si>
  <si>
    <t>Všechno vyšší + Design 5%</t>
  </si>
  <si>
    <t>Všechno vyšší + Booster 10%</t>
  </si>
  <si>
    <t>Všechno vyšší + Distribuční Booster 10%</t>
  </si>
  <si>
    <t>Hodnoty s jednotlivou municí</t>
  </si>
  <si>
    <r>
      <t>Maximální hodnota DMG</t>
    </r>
    <r>
      <rPr>
        <b/>
        <sz val="12"/>
        <color rgb="FF00CC00"/>
        <rFont val="Calibri"/>
        <family val="2"/>
        <charset val="238"/>
        <scheme val="minor"/>
      </rPr>
      <t xml:space="preserve"> x1 (LCB-10)</t>
    </r>
  </si>
  <si>
    <r>
      <t xml:space="preserve">Maximální hodnota DMG </t>
    </r>
    <r>
      <rPr>
        <b/>
        <sz val="12"/>
        <color rgb="FF0099FF"/>
        <rFont val="Calibri"/>
        <family val="2"/>
        <charset val="238"/>
        <scheme val="minor"/>
      </rPr>
      <t>x2 (MCB-25)</t>
    </r>
  </si>
  <si>
    <r>
      <t xml:space="preserve">Maximální hodnota DMG </t>
    </r>
    <r>
      <rPr>
        <b/>
        <sz val="12"/>
        <color rgb="FF009900"/>
        <rFont val="Calibri"/>
        <family val="2"/>
        <charset val="238"/>
        <scheme val="minor"/>
      </rPr>
      <t>x3 (MCB-50)</t>
    </r>
  </si>
  <si>
    <r>
      <t xml:space="preserve">Maximální hodnota DMG </t>
    </r>
    <r>
      <rPr>
        <b/>
        <sz val="12"/>
        <color rgb="FFFFFF66"/>
        <rFont val="Calibri"/>
        <family val="2"/>
        <charset val="238"/>
        <scheme val="minor"/>
      </rPr>
      <t>x4 (UCB-50)</t>
    </r>
  </si>
  <si>
    <r>
      <t xml:space="preserve">Maximální hodnota DMG </t>
    </r>
    <r>
      <rPr>
        <b/>
        <sz val="12"/>
        <color rgb="FFFF6600"/>
        <rFont val="Calibri"/>
        <family val="2"/>
        <charset val="238"/>
        <scheme val="minor"/>
      </rPr>
      <t>x6 (RSB-75)</t>
    </r>
  </si>
  <si>
    <t>Všechno vyšší + design 5%</t>
  </si>
  <si>
    <t>Všechno vyšší + Raketový výskum 15%</t>
  </si>
  <si>
    <t>Všechno vyšší + Distribuční booster 10%</t>
  </si>
  <si>
    <t>Salva raket - základ</t>
  </si>
  <si>
    <t>Salva raket + upgrade</t>
  </si>
  <si>
    <t>První laser</t>
  </si>
  <si>
    <t>Level prvního laseru (1-16)</t>
  </si>
  <si>
    <t>1. Letoun</t>
  </si>
  <si>
    <t>Hodnota DMG v letounu</t>
  </si>
  <si>
    <t>2. Letoun</t>
  </si>
  <si>
    <r>
      <t xml:space="preserve">Druhý laser </t>
    </r>
    <r>
      <rPr>
        <b/>
        <sz val="11"/>
        <color rgb="FFFF0000"/>
        <rFont val="Calibri"/>
        <family val="2"/>
        <charset val="238"/>
        <scheme val="minor"/>
      </rPr>
      <t>!Při Flax nevyplňujeme</t>
    </r>
  </si>
  <si>
    <t>Level letounu (upgrade: 1-16) - Iris</t>
  </si>
  <si>
    <t>Level letounu (upgrade: 1-16) - Flax</t>
  </si>
  <si>
    <t>Level letounu (exp: 1-6)</t>
  </si>
  <si>
    <t>Level letounu (exp): 1-6</t>
  </si>
  <si>
    <t>3. Letoun</t>
  </si>
  <si>
    <t>Level letounu (upgrade: 1-16) -Flax</t>
  </si>
  <si>
    <t>4. Letoun</t>
  </si>
  <si>
    <r>
      <t xml:space="preserve">Druhý laser </t>
    </r>
    <r>
      <rPr>
        <b/>
        <sz val="11"/>
        <color rgb="FFFF0000"/>
        <rFont val="Calibri"/>
        <family val="2"/>
        <charset val="238"/>
        <scheme val="minor"/>
      </rPr>
      <t>!Pří Flax nevyplňujeme</t>
    </r>
  </si>
  <si>
    <t>Level letounu (expenie: 1-6)</t>
  </si>
  <si>
    <t>5. Letoun</t>
  </si>
  <si>
    <t>6. Letoun</t>
  </si>
  <si>
    <t>7. Letoun</t>
  </si>
  <si>
    <t>8. Letoun</t>
  </si>
  <si>
    <t>Počet slotů:  2</t>
  </si>
  <si>
    <t>Máte všechny HAVOC designy?</t>
  </si>
  <si>
    <t>Čísla mají orientační charakter, můžete pozotovat drobné rozdíly způsobené různorodým zaokrouhlováním u BP.
Jestli si vyplníte okno (nyní má zelený podstín) zbarví se do červena, hodnota je nesprávná. Správně vypsaná hodnota má zelené zabarvení.
Ve výběrovém políčku vyberte ze seznamu věc, která má být započítaná do výpočtu DMG. Pokud zvolíte nesprávnou loď, letoun nebo špatný laser, program vás nemusí upozornit a projeví se to na celkové hodnotě. Proto dbejte na správném uvedení těchto údajů. Všechny hodnoty jsou nyní nastavené na mou hodnotu, co nevyberete, to se nepočítá.</t>
  </si>
  <si>
    <r>
      <t xml:space="preserve">© Copyright </t>
    </r>
    <r>
      <rPr>
        <b/>
        <sz val="12"/>
        <rFont val="Calibri"/>
        <family val="2"/>
        <charset val="238"/>
        <scheme val="minor"/>
      </rPr>
      <t>Ţ€ЯМІΠÂŢÔЯ★21★[CZ]</t>
    </r>
    <r>
      <rPr>
        <b/>
        <sz val="12"/>
        <color rgb="FFFF0000"/>
        <rFont val="Calibri"/>
        <family val="2"/>
        <charset val="238"/>
        <scheme val="minor"/>
      </rPr>
      <t xml:space="preserve"> 2014</t>
    </r>
  </si>
  <si>
    <r>
      <t>Kopírování, přestavby a jiné úpravy nebo dalších šíření tohto dokumentu bez mého souhlasu</t>
    </r>
    <r>
      <rPr>
        <b/>
        <sz val="14"/>
        <color rgb="FFC00000"/>
        <rFont val="Calibri"/>
        <family val="2"/>
        <charset val="238"/>
        <scheme val="minor"/>
      </rPr>
      <t xml:space="preserve"> </t>
    </r>
    <r>
      <rPr>
        <b/>
        <u val="double"/>
        <sz val="14"/>
        <color rgb="FFC00000"/>
        <rFont val="Calibri"/>
        <family val="2"/>
        <charset val="238"/>
        <scheme val="minor"/>
      </rPr>
      <t>není POVOLENÉ !!!</t>
    </r>
  </si>
  <si>
    <t>Typ raket</t>
  </si>
  <si>
    <t>Typ používaných raket</t>
  </si>
  <si>
    <t>DMG z letounů</t>
  </si>
  <si>
    <t>DMG loď + letouny</t>
  </si>
</sst>
</file>

<file path=xl/styles.xml><?xml version="1.0" encoding="utf-8"?>
<styleSheet xmlns="http://schemas.openxmlformats.org/spreadsheetml/2006/main">
  <fonts count="28">
    <font>
      <sz val="11"/>
      <color theme="1"/>
      <name val="Calibri"/>
      <family val="2"/>
      <charset val="238"/>
      <scheme val="minor"/>
    </font>
    <font>
      <b/>
      <sz val="12"/>
      <color theme="1"/>
      <name val="Calibri"/>
      <family val="2"/>
      <charset val="238"/>
      <scheme val="minor"/>
    </font>
    <font>
      <sz val="11"/>
      <color theme="1"/>
      <name val="Calibri"/>
      <family val="2"/>
      <charset val="238"/>
      <scheme val="minor"/>
    </font>
    <font>
      <b/>
      <sz val="11"/>
      <color theme="1"/>
      <name val="Calibri"/>
      <family val="2"/>
      <charset val="238"/>
      <scheme val="minor"/>
    </font>
    <font>
      <b/>
      <sz val="11"/>
      <color rgb="FF00B050"/>
      <name val="Calibri"/>
      <family val="2"/>
      <charset val="238"/>
      <scheme val="minor"/>
    </font>
    <font>
      <b/>
      <sz val="9"/>
      <color indexed="81"/>
      <name val="Tahoma"/>
      <family val="2"/>
      <charset val="238"/>
    </font>
    <font>
      <sz val="11"/>
      <color theme="3" tint="0.39997558519241921"/>
      <name val="Calibri"/>
      <family val="2"/>
      <charset val="238"/>
      <scheme val="minor"/>
    </font>
    <font>
      <b/>
      <sz val="12"/>
      <color rgb="FF00B050"/>
      <name val="Calibri"/>
      <family val="2"/>
      <charset val="238"/>
      <scheme val="minor"/>
    </font>
    <font>
      <sz val="11"/>
      <name val="Calibri"/>
      <family val="2"/>
      <charset val="238"/>
      <scheme val="minor"/>
    </font>
    <font>
      <b/>
      <sz val="12"/>
      <color rgb="FFFF0000"/>
      <name val="Calibri"/>
      <family val="2"/>
      <charset val="238"/>
      <scheme val="minor"/>
    </font>
    <font>
      <b/>
      <sz val="12"/>
      <color rgb="FF00B0F0"/>
      <name val="Calibri"/>
      <family val="2"/>
      <charset val="238"/>
      <scheme val="minor"/>
    </font>
    <font>
      <b/>
      <sz val="12"/>
      <color rgb="FFFF0066"/>
      <name val="Calibri"/>
      <family val="2"/>
      <charset val="238"/>
      <scheme val="minor"/>
    </font>
    <font>
      <b/>
      <sz val="12"/>
      <name val="Calibri"/>
      <family val="2"/>
      <charset val="238"/>
      <scheme val="minor"/>
    </font>
    <font>
      <sz val="11"/>
      <color rgb="FFFF0000"/>
      <name val="Calibri"/>
      <family val="2"/>
      <charset val="238"/>
      <scheme val="minor"/>
    </font>
    <font>
      <sz val="11"/>
      <color theme="1"/>
      <name val="Times New Roman"/>
      <family val="1"/>
      <charset val="238"/>
    </font>
    <font>
      <b/>
      <sz val="12"/>
      <color rgb="FF00CC00"/>
      <name val="Calibri"/>
      <family val="2"/>
      <charset val="238"/>
      <scheme val="minor"/>
    </font>
    <font>
      <b/>
      <sz val="12"/>
      <color rgb="FFFFFF66"/>
      <name val="Calibri"/>
      <family val="2"/>
      <charset val="238"/>
      <scheme val="minor"/>
    </font>
    <font>
      <b/>
      <sz val="12"/>
      <color rgb="FF0099FF"/>
      <name val="Calibri"/>
      <family val="2"/>
      <charset val="238"/>
      <scheme val="minor"/>
    </font>
    <font>
      <b/>
      <sz val="12"/>
      <color rgb="FF009900"/>
      <name val="Calibri"/>
      <family val="2"/>
      <charset val="238"/>
      <scheme val="minor"/>
    </font>
    <font>
      <b/>
      <sz val="12"/>
      <color rgb="FFFF6600"/>
      <name val="Calibri"/>
      <family val="2"/>
      <charset val="238"/>
      <scheme val="minor"/>
    </font>
    <font>
      <b/>
      <sz val="11"/>
      <name val="Calibri"/>
      <family val="2"/>
      <charset val="238"/>
      <scheme val="minor"/>
    </font>
    <font>
      <b/>
      <sz val="12"/>
      <color rgb="FF7030A0"/>
      <name val="Calibri"/>
      <family val="2"/>
      <charset val="238"/>
      <scheme val="minor"/>
    </font>
    <font>
      <sz val="11"/>
      <color theme="0"/>
      <name val="Calibri"/>
      <family val="2"/>
      <charset val="238"/>
      <scheme val="minor"/>
    </font>
    <font>
      <b/>
      <sz val="11"/>
      <color rgb="FFFF0000"/>
      <name val="Calibri"/>
      <family val="2"/>
      <charset val="238"/>
      <scheme val="minor"/>
    </font>
    <font>
      <b/>
      <i/>
      <sz val="14"/>
      <color rgb="FFC00000"/>
      <name val="Calibri"/>
      <family val="2"/>
      <charset val="238"/>
      <scheme val="minor"/>
    </font>
    <font>
      <b/>
      <sz val="14"/>
      <color rgb="FFFF0000"/>
      <name val="Calibri"/>
      <family val="2"/>
      <charset val="238"/>
      <scheme val="minor"/>
    </font>
    <font>
      <b/>
      <sz val="14"/>
      <color rgb="FFC00000"/>
      <name val="Calibri"/>
      <family val="2"/>
      <charset val="238"/>
      <scheme val="minor"/>
    </font>
    <font>
      <b/>
      <u val="double"/>
      <sz val="14"/>
      <color rgb="FFC00000"/>
      <name val="Calibri"/>
      <family val="2"/>
      <charset val="238"/>
      <scheme val="minor"/>
    </font>
  </fonts>
  <fills count="7">
    <fill>
      <patternFill patternType="none"/>
    </fill>
    <fill>
      <patternFill patternType="gray125"/>
    </fill>
    <fill>
      <patternFill patternType="solid">
        <fgColor theme="6" tint="0.39997558519241921"/>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rgb="FFFFFF66"/>
        <bgColor indexed="64"/>
      </patternFill>
    </fill>
    <fill>
      <patternFill patternType="solid">
        <fgColor theme="0"/>
        <bgColor indexed="64"/>
      </patternFill>
    </fill>
  </fills>
  <borders count="37">
    <border>
      <left/>
      <right/>
      <top/>
      <bottom/>
      <diagonal/>
    </border>
    <border>
      <left/>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style="medium">
        <color indexed="64"/>
      </top>
      <bottom style="hair">
        <color indexed="64"/>
      </bottom>
      <diagonal/>
    </border>
    <border>
      <left/>
      <right style="hair">
        <color indexed="64"/>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medium">
        <color indexed="64"/>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bottom style="medium">
        <color indexed="64"/>
      </bottom>
      <diagonal/>
    </border>
    <border>
      <left style="medium">
        <color indexed="64"/>
      </left>
      <right style="hair">
        <color indexed="64"/>
      </right>
      <top style="thick">
        <color indexed="64"/>
      </top>
      <bottom style="hair">
        <color indexed="64"/>
      </bottom>
      <diagonal/>
    </border>
    <border>
      <left style="hair">
        <color indexed="64"/>
      </left>
      <right style="medium">
        <color indexed="64"/>
      </right>
      <top style="thick">
        <color indexed="64"/>
      </top>
      <bottom style="hair">
        <color indexed="64"/>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right/>
      <top style="medium">
        <color indexed="64"/>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medium">
        <color indexed="64"/>
      </left>
      <right/>
      <top/>
      <bottom/>
      <diagonal/>
    </border>
  </borders>
  <cellStyleXfs count="2">
    <xf numFmtId="0" fontId="0" fillId="0" borderId="0"/>
    <xf numFmtId="9" fontId="2" fillId="0" borderId="0" applyFont="0" applyFill="0" applyBorder="0" applyAlignment="0" applyProtection="0"/>
  </cellStyleXfs>
  <cellXfs count="104">
    <xf numFmtId="0" fontId="0" fillId="0" borderId="0" xfId="0"/>
    <xf numFmtId="0" fontId="0" fillId="0" borderId="1" xfId="0" applyBorder="1"/>
    <xf numFmtId="0" fontId="0" fillId="3" borderId="2" xfId="0" applyFill="1" applyBorder="1"/>
    <xf numFmtId="3" fontId="7" fillId="3" borderId="2" xfId="0" applyNumberFormat="1" applyFont="1" applyFill="1" applyBorder="1" applyAlignment="1">
      <alignment horizontal="center"/>
    </xf>
    <xf numFmtId="0" fontId="1" fillId="3" borderId="4" xfId="0" applyFont="1" applyFill="1" applyBorder="1"/>
    <xf numFmtId="0" fontId="0" fillId="3" borderId="5" xfId="0" applyFill="1" applyBorder="1"/>
    <xf numFmtId="0" fontId="0" fillId="4" borderId="3" xfId="0" applyFill="1" applyBorder="1" applyAlignment="1">
      <alignment horizontal="center"/>
    </xf>
    <xf numFmtId="0" fontId="0" fillId="3" borderId="8" xfId="0" applyFill="1" applyBorder="1"/>
    <xf numFmtId="0" fontId="0" fillId="3" borderId="7" xfId="0" applyFill="1" applyBorder="1"/>
    <xf numFmtId="0" fontId="0" fillId="2" borderId="3" xfId="0" applyFill="1" applyBorder="1" applyAlignment="1">
      <alignment horizontal="center"/>
    </xf>
    <xf numFmtId="0" fontId="0" fillId="3" borderId="8" xfId="0" applyFill="1" applyBorder="1" applyAlignment="1">
      <alignment horizontal="center"/>
    </xf>
    <xf numFmtId="1" fontId="0" fillId="2" borderId="3" xfId="0" applyNumberFormat="1" applyFill="1" applyBorder="1" applyAlignment="1">
      <alignment horizontal="center"/>
    </xf>
    <xf numFmtId="2" fontId="0" fillId="3" borderId="8" xfId="1" applyNumberFormat="1" applyFont="1" applyFill="1" applyBorder="1" applyAlignment="1">
      <alignment horizontal="center"/>
    </xf>
    <xf numFmtId="0" fontId="6" fillId="3" borderId="7" xfId="0" applyFont="1" applyFill="1" applyBorder="1"/>
    <xf numFmtId="0" fontId="6" fillId="2" borderId="3" xfId="0" applyFont="1" applyFill="1" applyBorder="1" applyAlignment="1">
      <alignment horizontal="center"/>
    </xf>
    <xf numFmtId="0" fontId="6" fillId="3" borderId="8" xfId="0" applyFont="1" applyFill="1" applyBorder="1" applyAlignment="1">
      <alignment horizontal="center"/>
    </xf>
    <xf numFmtId="0" fontId="7" fillId="5" borderId="9" xfId="0" applyFont="1" applyFill="1" applyBorder="1" applyAlignment="1">
      <alignment vertical="center"/>
    </xf>
    <xf numFmtId="3" fontId="0" fillId="3" borderId="8" xfId="0" applyNumberFormat="1" applyFill="1" applyBorder="1" applyAlignment="1">
      <alignment horizontal="center"/>
    </xf>
    <xf numFmtId="0" fontId="0" fillId="3" borderId="12" xfId="0" applyFill="1" applyBorder="1"/>
    <xf numFmtId="0" fontId="0" fillId="3" borderId="9" xfId="0" applyFill="1" applyBorder="1"/>
    <xf numFmtId="0" fontId="1" fillId="3" borderId="17" xfId="0" applyFont="1" applyFill="1" applyBorder="1"/>
    <xf numFmtId="0" fontId="1" fillId="3" borderId="12" xfId="0" applyFont="1" applyFill="1" applyBorder="1"/>
    <xf numFmtId="0" fontId="1" fillId="3" borderId="18" xfId="0" applyFont="1" applyFill="1" applyBorder="1"/>
    <xf numFmtId="0" fontId="3" fillId="3" borderId="6" xfId="0" applyFont="1" applyFill="1" applyBorder="1" applyAlignment="1">
      <alignment horizontal="center"/>
    </xf>
    <xf numFmtId="0" fontId="4" fillId="5" borderId="9" xfId="0" applyFont="1" applyFill="1" applyBorder="1"/>
    <xf numFmtId="3" fontId="7" fillId="5" borderId="10" xfId="0" applyNumberFormat="1" applyFont="1" applyFill="1" applyBorder="1" applyAlignment="1">
      <alignment horizontal="center"/>
    </xf>
    <xf numFmtId="0" fontId="10" fillId="5" borderId="11" xfId="0" applyFont="1" applyFill="1" applyBorder="1" applyAlignment="1">
      <alignment horizontal="center"/>
    </xf>
    <xf numFmtId="0" fontId="0" fillId="3" borderId="7" xfId="0" applyFill="1" applyBorder="1" applyAlignment="1">
      <alignment wrapText="1"/>
    </xf>
    <xf numFmtId="3" fontId="1" fillId="3" borderId="3" xfId="0" applyNumberFormat="1" applyFont="1" applyFill="1" applyBorder="1" applyAlignment="1">
      <alignment horizontal="center"/>
    </xf>
    <xf numFmtId="3" fontId="11" fillId="3" borderId="10" xfId="0" applyNumberFormat="1" applyFont="1" applyFill="1" applyBorder="1" applyAlignment="1">
      <alignment horizontal="center"/>
    </xf>
    <xf numFmtId="3" fontId="10" fillId="3" borderId="13" xfId="0" applyNumberFormat="1" applyFont="1" applyFill="1" applyBorder="1" applyAlignment="1">
      <alignment horizontal="center" vertical="center"/>
    </xf>
    <xf numFmtId="3" fontId="7" fillId="3" borderId="3" xfId="0" applyNumberFormat="1" applyFont="1" applyFill="1" applyBorder="1" applyAlignment="1">
      <alignment horizontal="center"/>
    </xf>
    <xf numFmtId="3" fontId="10" fillId="3" borderId="8" xfId="0" applyNumberFormat="1" applyFont="1" applyFill="1" applyBorder="1" applyAlignment="1">
      <alignment horizontal="center"/>
    </xf>
    <xf numFmtId="3" fontId="11" fillId="3" borderId="11" xfId="0" applyNumberFormat="1" applyFont="1" applyFill="1" applyBorder="1" applyAlignment="1">
      <alignment horizontal="center"/>
    </xf>
    <xf numFmtId="3" fontId="7" fillId="5" borderId="15" xfId="0" applyNumberFormat="1" applyFont="1" applyFill="1" applyBorder="1" applyAlignment="1">
      <alignment horizontal="center" vertical="center"/>
    </xf>
    <xf numFmtId="3" fontId="7" fillId="5" borderId="10" xfId="0" applyNumberFormat="1" applyFont="1" applyFill="1" applyBorder="1" applyAlignment="1">
      <alignment horizontal="center" vertical="center"/>
    </xf>
    <xf numFmtId="3" fontId="10" fillId="5" borderId="11" xfId="0" applyNumberFormat="1" applyFont="1" applyFill="1" applyBorder="1" applyAlignment="1">
      <alignment horizontal="center" vertical="center"/>
    </xf>
    <xf numFmtId="0" fontId="0" fillId="3" borderId="19" xfId="0" applyFill="1" applyBorder="1" applyAlignment="1">
      <alignment horizontal="left"/>
    </xf>
    <xf numFmtId="3" fontId="1" fillId="3" borderId="20" xfId="0" applyNumberFormat="1" applyFont="1" applyFill="1" applyBorder="1" applyAlignment="1">
      <alignment horizontal="center"/>
    </xf>
    <xf numFmtId="3" fontId="10" fillId="3" borderId="21" xfId="0" applyNumberFormat="1" applyFont="1" applyFill="1" applyBorder="1" applyAlignment="1">
      <alignment horizontal="center"/>
    </xf>
    <xf numFmtId="0" fontId="0" fillId="3" borderId="19" xfId="0" applyFill="1" applyBorder="1"/>
    <xf numFmtId="3" fontId="0" fillId="3" borderId="7" xfId="0" applyNumberFormat="1" applyFill="1" applyBorder="1" applyAlignment="1">
      <alignment wrapText="1"/>
    </xf>
    <xf numFmtId="3" fontId="9" fillId="3" borderId="10" xfId="0" applyNumberFormat="1" applyFont="1" applyFill="1" applyBorder="1" applyAlignment="1">
      <alignment horizontal="center"/>
    </xf>
    <xf numFmtId="3" fontId="10" fillId="3" borderId="11" xfId="0" applyNumberFormat="1" applyFont="1" applyFill="1" applyBorder="1" applyAlignment="1">
      <alignment horizontal="center"/>
    </xf>
    <xf numFmtId="3" fontId="11" fillId="3" borderId="3" xfId="0" applyNumberFormat="1" applyFont="1" applyFill="1" applyBorder="1" applyAlignment="1">
      <alignment horizontal="center"/>
    </xf>
    <xf numFmtId="3" fontId="11" fillId="3" borderId="8" xfId="0" applyNumberFormat="1" applyFont="1" applyFill="1" applyBorder="1" applyAlignment="1">
      <alignment horizontal="center"/>
    </xf>
    <xf numFmtId="0" fontId="11" fillId="3" borderId="7" xfId="0" applyFont="1" applyFill="1" applyBorder="1" applyAlignment="1">
      <alignment horizontal="left" wrapText="1"/>
    </xf>
    <xf numFmtId="0" fontId="11" fillId="3" borderId="9" xfId="0" applyFont="1" applyFill="1" applyBorder="1" applyAlignment="1">
      <alignment horizontal="left" wrapText="1"/>
    </xf>
    <xf numFmtId="0" fontId="0" fillId="3" borderId="14" xfId="0" applyFill="1" applyBorder="1"/>
    <xf numFmtId="3" fontId="1" fillId="3" borderId="15" xfId="0" applyNumberFormat="1" applyFont="1" applyFill="1" applyBorder="1" applyAlignment="1">
      <alignment horizontal="center"/>
    </xf>
    <xf numFmtId="3" fontId="10" fillId="3" borderId="16" xfId="0" applyNumberFormat="1" applyFont="1" applyFill="1" applyBorder="1" applyAlignment="1">
      <alignment horizontal="center"/>
    </xf>
    <xf numFmtId="0" fontId="9" fillId="0" borderId="0" xfId="0" applyFont="1" applyBorder="1" applyAlignment="1">
      <alignment vertical="center" wrapText="1"/>
    </xf>
    <xf numFmtId="0" fontId="12" fillId="6" borderId="0" xfId="0" applyFont="1" applyFill="1" applyBorder="1" applyAlignment="1">
      <alignment horizontal="left" wrapText="1"/>
    </xf>
    <xf numFmtId="0" fontId="12" fillId="0" borderId="0" xfId="0" applyFont="1" applyBorder="1" applyAlignment="1">
      <alignment vertical="center" wrapText="1"/>
    </xf>
    <xf numFmtId="0" fontId="9" fillId="3" borderId="6" xfId="0" applyFont="1" applyFill="1" applyBorder="1" applyAlignment="1">
      <alignment vertical="center" wrapText="1"/>
    </xf>
    <xf numFmtId="0" fontId="9" fillId="3" borderId="23" xfId="0" applyFont="1" applyFill="1" applyBorder="1" applyAlignment="1">
      <alignment vertical="center" wrapText="1"/>
    </xf>
    <xf numFmtId="0" fontId="9" fillId="3" borderId="24" xfId="0" applyFont="1" applyFill="1" applyBorder="1" applyAlignment="1">
      <alignment vertical="center" wrapText="1"/>
    </xf>
    <xf numFmtId="0" fontId="8" fillId="3" borderId="25"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7" xfId="0" applyFont="1" applyFill="1" applyBorder="1" applyAlignment="1">
      <alignment vertical="center" wrapText="1"/>
    </xf>
    <xf numFmtId="0" fontId="8" fillId="3" borderId="9" xfId="0" applyFont="1" applyFill="1" applyBorder="1" applyAlignment="1">
      <alignment vertical="center"/>
    </xf>
    <xf numFmtId="3" fontId="21" fillId="3" borderId="8" xfId="0" applyNumberFormat="1" applyFont="1" applyFill="1" applyBorder="1" applyAlignment="1">
      <alignment horizontal="center" wrapText="1"/>
    </xf>
    <xf numFmtId="3" fontId="21" fillId="3" borderId="8" xfId="0" applyNumberFormat="1" applyFont="1" applyFill="1" applyBorder="1" applyAlignment="1">
      <alignment horizontal="center" vertical="center" wrapText="1"/>
    </xf>
    <xf numFmtId="3" fontId="21" fillId="3" borderId="11" xfId="0" applyNumberFormat="1" applyFont="1" applyFill="1" applyBorder="1" applyAlignment="1">
      <alignment horizontal="center" vertical="center" wrapText="1"/>
    </xf>
    <xf numFmtId="0" fontId="20" fillId="3" borderId="4" xfId="0" applyFont="1" applyFill="1" applyBorder="1" applyAlignment="1">
      <alignment vertical="center" wrapText="1"/>
    </xf>
    <xf numFmtId="0" fontId="20" fillId="3" borderId="7" xfId="0" applyFont="1" applyFill="1" applyBorder="1" applyAlignment="1">
      <alignment vertical="center" wrapText="1"/>
    </xf>
    <xf numFmtId="0" fontId="1" fillId="3" borderId="27" xfId="0" applyFont="1" applyFill="1" applyBorder="1" applyAlignment="1">
      <alignment horizontal="center" vertical="center"/>
    </xf>
    <xf numFmtId="0" fontId="1" fillId="3" borderId="28" xfId="0" applyFont="1" applyFill="1" applyBorder="1" applyAlignment="1">
      <alignment horizontal="center" vertical="center"/>
    </xf>
    <xf numFmtId="0" fontId="0" fillId="3" borderId="29" xfId="0" applyFill="1" applyBorder="1"/>
    <xf numFmtId="0" fontId="0" fillId="3" borderId="31" xfId="0" applyFill="1" applyBorder="1"/>
    <xf numFmtId="0" fontId="3" fillId="3" borderId="32" xfId="0" applyFont="1" applyFill="1" applyBorder="1"/>
    <xf numFmtId="0" fontId="11" fillId="3" borderId="12" xfId="0" applyFont="1" applyFill="1" applyBorder="1" applyAlignment="1">
      <alignment horizontal="left" wrapText="1"/>
    </xf>
    <xf numFmtId="3" fontId="11" fillId="3" borderId="2" xfId="0" applyNumberFormat="1" applyFont="1" applyFill="1" applyBorder="1" applyAlignment="1">
      <alignment horizontal="center"/>
    </xf>
    <xf numFmtId="3" fontId="11" fillId="3" borderId="13" xfId="0" applyNumberFormat="1" applyFont="1" applyFill="1" applyBorder="1" applyAlignment="1">
      <alignment horizontal="center"/>
    </xf>
    <xf numFmtId="0" fontId="3" fillId="3" borderId="0" xfId="0" applyFont="1" applyFill="1"/>
    <xf numFmtId="2" fontId="0" fillId="3" borderId="8" xfId="0" applyNumberFormat="1" applyFill="1" applyBorder="1" applyAlignment="1">
      <alignment horizontal="center"/>
    </xf>
    <xf numFmtId="0" fontId="0" fillId="0" borderId="0" xfId="0" applyBorder="1"/>
    <xf numFmtId="3" fontId="1" fillId="3" borderId="10" xfId="0" applyNumberFormat="1" applyFont="1" applyFill="1" applyBorder="1" applyAlignment="1">
      <alignment horizontal="center"/>
    </xf>
    <xf numFmtId="0" fontId="8" fillId="3" borderId="14" xfId="0" applyFont="1" applyFill="1" applyBorder="1"/>
    <xf numFmtId="3" fontId="18" fillId="3" borderId="15" xfId="0" applyNumberFormat="1" applyFont="1" applyFill="1" applyBorder="1" applyAlignment="1">
      <alignment horizontal="center" vertical="center" wrapText="1"/>
    </xf>
    <xf numFmtId="3" fontId="8" fillId="2" borderId="3" xfId="0" applyNumberFormat="1" applyFont="1" applyFill="1" applyBorder="1" applyAlignment="1">
      <alignment horizontal="center"/>
    </xf>
    <xf numFmtId="0" fontId="7" fillId="5" borderId="14" xfId="0" applyFont="1" applyFill="1" applyBorder="1" applyAlignment="1">
      <alignment vertical="center"/>
    </xf>
    <xf numFmtId="0" fontId="0" fillId="4" borderId="6" xfId="0" applyFill="1" applyBorder="1" applyAlignment="1">
      <alignment horizontal="center"/>
    </xf>
    <xf numFmtId="0" fontId="0" fillId="4" borderId="8" xfId="0" applyFill="1" applyBorder="1" applyAlignment="1">
      <alignment horizontal="center"/>
    </xf>
    <xf numFmtId="0" fontId="0" fillId="0" borderId="36" xfId="0" applyBorder="1"/>
    <xf numFmtId="0" fontId="0" fillId="3" borderId="34" xfId="0" applyFill="1" applyBorder="1"/>
    <xf numFmtId="0" fontId="0" fillId="3" borderId="35" xfId="0" applyFill="1" applyBorder="1"/>
    <xf numFmtId="0" fontId="0" fillId="3" borderId="26" xfId="0" applyFill="1" applyBorder="1"/>
    <xf numFmtId="3" fontId="10" fillId="3" borderId="8" xfId="0" applyNumberFormat="1" applyFont="1" applyFill="1" applyBorder="1" applyAlignment="1">
      <alignment horizontal="center" vertical="center"/>
    </xf>
    <xf numFmtId="0" fontId="9" fillId="3" borderId="16" xfId="0" applyFont="1" applyFill="1" applyBorder="1" applyAlignment="1">
      <alignment vertical="center" wrapText="1"/>
    </xf>
    <xf numFmtId="0" fontId="9" fillId="3" borderId="26" xfId="0" applyFont="1" applyFill="1" applyBorder="1" applyAlignment="1">
      <alignment vertical="center" wrapText="1"/>
    </xf>
    <xf numFmtId="3" fontId="18" fillId="3" borderId="10" xfId="0" applyNumberFormat="1" applyFont="1" applyFill="1" applyBorder="1" applyAlignment="1">
      <alignment horizontal="center"/>
    </xf>
    <xf numFmtId="0" fontId="22" fillId="0" borderId="0" xfId="0" applyFont="1"/>
    <xf numFmtId="0" fontId="3" fillId="3" borderId="30" xfId="0" applyFont="1" applyFill="1" applyBorder="1" applyAlignment="1">
      <alignment horizontal="center"/>
    </xf>
    <xf numFmtId="0" fontId="3" fillId="3" borderId="25" xfId="0" applyFont="1" applyFill="1" applyBorder="1" applyAlignment="1">
      <alignment horizontal="center"/>
    </xf>
    <xf numFmtId="0" fontId="13" fillId="0" borderId="0" xfId="0" applyFont="1" applyAlignment="1">
      <alignment horizontal="center"/>
    </xf>
    <xf numFmtId="0" fontId="9" fillId="0" borderId="0" xfId="0" applyFont="1" applyAlignment="1">
      <alignment horizontal="center" vertical="center"/>
    </xf>
    <xf numFmtId="0" fontId="3" fillId="3" borderId="30" xfId="0" applyFont="1" applyFill="1" applyBorder="1" applyAlignment="1">
      <alignment horizontal="center"/>
    </xf>
    <xf numFmtId="0" fontId="3" fillId="3" borderId="33" xfId="0" applyFont="1" applyFill="1" applyBorder="1" applyAlignment="1">
      <alignment horizontal="center"/>
    </xf>
    <xf numFmtId="0" fontId="3" fillId="3" borderId="25" xfId="0" applyFont="1" applyFill="1" applyBorder="1" applyAlignment="1">
      <alignment horizontal="center"/>
    </xf>
    <xf numFmtId="0" fontId="0" fillId="4" borderId="23" xfId="0" applyFill="1" applyBorder="1" applyAlignment="1">
      <alignment horizontal="center"/>
    </xf>
    <xf numFmtId="0" fontId="0" fillId="4" borderId="25" xfId="0" applyFill="1" applyBorder="1" applyAlignment="1">
      <alignment horizontal="center"/>
    </xf>
    <xf numFmtId="0" fontId="24" fillId="0" borderId="0" xfId="0" applyFont="1" applyBorder="1" applyAlignment="1">
      <alignment horizontal="center" vertical="center" wrapText="1"/>
    </xf>
    <xf numFmtId="0" fontId="25" fillId="0" borderId="0" xfId="0" applyFont="1" applyBorder="1" applyAlignment="1">
      <alignment horizontal="center" vertical="center" wrapText="1"/>
    </xf>
  </cellXfs>
  <cellStyles count="2">
    <cellStyle name="normální" xfId="0" builtinId="0"/>
    <cellStyle name="procent" xfId="1" builtinId="5"/>
  </cellStyles>
  <dxfs count="1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9" defaultPivotStyle="PivotStyleLight16"/>
  <colors>
    <mruColors>
      <color rgb="FF009900"/>
      <color rgb="FF00CCFF"/>
      <color rgb="FFFFFF66"/>
      <color rgb="FFFF6600"/>
      <color rgb="FFFFFF99"/>
      <color rgb="FF0099FF"/>
      <color rgb="FF00CC00"/>
      <color rgb="FF66FF33"/>
      <color rgb="FFFF0066"/>
      <color rgb="FF00FF00"/>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19050</xdr:colOff>
      <xdr:row>47</xdr:row>
      <xdr:rowOff>9525</xdr:rowOff>
    </xdr:from>
    <xdr:to>
      <xdr:col>3</xdr:col>
      <xdr:colOff>0</xdr:colOff>
      <xdr:row>49</xdr:row>
      <xdr:rowOff>9525</xdr:rowOff>
    </xdr:to>
    <xdr:cxnSp macro="">
      <xdr:nvCxnSpPr>
        <xdr:cNvPr id="3" name="Rovná spojnica 2"/>
        <xdr:cNvCxnSpPr/>
      </xdr:nvCxnSpPr>
      <xdr:spPr>
        <a:xfrm>
          <a:off x="3381375" y="9372600"/>
          <a:ext cx="895350" cy="4095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Hárok1"/>
  <dimension ref="A1:K62"/>
  <sheetViews>
    <sheetView showGridLines="0" tabSelected="1" workbookViewId="0">
      <selection activeCell="A21" sqref="A21"/>
    </sheetView>
  </sheetViews>
  <sheetFormatPr defaultRowHeight="15"/>
  <cols>
    <col min="1" max="1" width="38.7109375" customWidth="1"/>
    <col min="2" max="2" width="11.7109375" customWidth="1"/>
    <col min="3" max="3" width="13.7109375" customWidth="1"/>
    <col min="4" max="4" width="3.7109375" customWidth="1"/>
    <col min="5" max="5" width="31.5703125" customWidth="1"/>
    <col min="6" max="6" width="9.140625" customWidth="1"/>
    <col min="7" max="7" width="13.7109375" customWidth="1"/>
    <col min="8" max="8" width="31.7109375" customWidth="1"/>
    <col min="10" max="10" width="13.7109375" customWidth="1"/>
  </cols>
  <sheetData>
    <row r="1" spans="1:10" ht="15.75" thickBot="1"/>
    <row r="2" spans="1:10" ht="15.75" thickBot="1">
      <c r="F2" s="93" t="s">
        <v>45</v>
      </c>
      <c r="G2" s="94" t="s">
        <v>46</v>
      </c>
    </row>
    <row r="3" spans="1:10" ht="16.5" thickBot="1">
      <c r="A3" s="4" t="s">
        <v>40</v>
      </c>
      <c r="B3" s="5"/>
      <c r="C3" s="23" t="s">
        <v>12</v>
      </c>
      <c r="E3" s="70" t="s">
        <v>84</v>
      </c>
      <c r="F3" s="69"/>
      <c r="G3" s="68"/>
    </row>
    <row r="4" spans="1:10" ht="15.75" thickBot="1">
      <c r="A4" s="8" t="s">
        <v>41</v>
      </c>
      <c r="B4" s="6" t="str">
        <f>IF(_!B1=1,"1",IF(_!B1=2,"2",IF(_!B1=3,"6",IF(_!B1=4,"5",IF(_!B1=5,"6",IF(_!B1=6,"7",IF(_!B1=7,"8",IF(_!B1=8,"15",IF(_!B1=9,"10",IF(_!B1=10,"15"))))))))))</f>
        <v>15</v>
      </c>
      <c r="C4" s="7"/>
    </row>
    <row r="5" spans="1:10" ht="15.75">
      <c r="A5" s="8" t="s">
        <v>42</v>
      </c>
      <c r="B5" s="9">
        <v>10</v>
      </c>
      <c r="C5" s="10" t="str">
        <f>IF(_!G1=1,"100",IF(_!G1=2,"150",IF(_!G1=3,"200")))</f>
        <v>150</v>
      </c>
      <c r="E5" s="4" t="s">
        <v>66</v>
      </c>
      <c r="F5" s="5"/>
      <c r="G5" s="82" t="str">
        <f>IF(_!C4=1,"0",IF(_!C4=2,"1",IF(_!C4=3,"2")))</f>
        <v>2</v>
      </c>
      <c r="H5" s="4" t="s">
        <v>80</v>
      </c>
      <c r="I5" s="5"/>
      <c r="J5" s="82" t="str">
        <f>IF(_!C9=1,"0",IF(_!C9=2,"1",IF(_!C9=3,"2")))</f>
        <v>2</v>
      </c>
    </row>
    <row r="6" spans="1:10">
      <c r="A6" s="8" t="s">
        <v>43</v>
      </c>
      <c r="B6" s="11">
        <v>16</v>
      </c>
      <c r="C6" s="12" t="str">
        <f>IF(B6=1,"1,00",IF(B6=2,"1,004",IF(B6=3,"1,008",IF(B6=4,"1,012",IF(B6=5,"1,016",IF(B6=6,"1,02",IF(B6=7,"1,024",IF(B6=8,"1,028",IF(B6=9,"1,032",IF(B6=10,"1,036",IF(B6=11,"1,04",IF(B6=12,"1,044",IF(B6=13,"1,048",IF(B6=14,"1,052",IF(B6=15,"1,056",IF(B6=16,"1,06",))))))))))))))))</f>
        <v>1,06</v>
      </c>
      <c r="E6" s="8" t="s">
        <v>64</v>
      </c>
      <c r="G6" s="17">
        <f>IF(_!I1=1,"100",IF(_!I1=2,"150",IF(_!I1=3,"200")))*IF(_!C4&gt;1,"1")</f>
        <v>200</v>
      </c>
      <c r="H6" s="8" t="s">
        <v>64</v>
      </c>
      <c r="J6" s="17">
        <f>IF(_!J1=1,"100",IF(_!J1=2,"150",IF(_!J1=3,"200")))*IF(_!C9&gt;1,"1")</f>
        <v>200</v>
      </c>
    </row>
    <row r="7" spans="1:10" ht="16.5" thickBot="1">
      <c r="A7" s="24" t="s">
        <v>44</v>
      </c>
      <c r="B7" s="25">
        <f>B5*C5*C6</f>
        <v>1590</v>
      </c>
      <c r="C7" s="26">
        <f>B5*C5*C6</f>
        <v>1590</v>
      </c>
      <c r="E7" s="8" t="s">
        <v>69</v>
      </c>
      <c r="F7" s="9">
        <v>0</v>
      </c>
      <c r="G7" s="17">
        <f>IF(_!I2=1,"100",IF(_!I2=2,"150",IF(_!I2=3,"200")))*IF(_!C4=3,"1")</f>
        <v>200</v>
      </c>
      <c r="H7" s="8" t="s">
        <v>77</v>
      </c>
      <c r="I7" s="9">
        <v>0</v>
      </c>
      <c r="J7" s="17">
        <f>IF(_!J1=1,"100",IF(_!J1=2,"150",IF(_!J1=3,"200")))*IF(_!C9=3,"1")</f>
        <v>200</v>
      </c>
    </row>
    <row r="8" spans="1:10">
      <c r="E8" s="8" t="s">
        <v>65</v>
      </c>
      <c r="F8" s="11">
        <v>10</v>
      </c>
      <c r="G8" s="12" t="str">
        <f>IF(F8=1,"1,00",IF(F8=2,"1,004",IF(F8=3,"1,008",IF(F8=4,"1,012",IF(F8=5,"1,016",IF(F8=6,"1,02",IF(F8=7,"1,024",IF(F8=8,"1,028",IF(F8=9,"1,032",IF(F8=10,"1,036",IF(F8=11,"1,04",IF(F8=12,"1,044",IF(F8=13,"1,048",IF(F8=14,"1,052",IF(F8=15,"1,056",IF(F8=16,"1,06",))))))))))))))))</f>
        <v>1,036</v>
      </c>
      <c r="H8" s="8" t="s">
        <v>65</v>
      </c>
      <c r="I8" s="11">
        <v>10</v>
      </c>
      <c r="J8" s="12" t="str">
        <f>IF(I8=1,"1,00",IF(I8=2,"1,004",IF(I8=3,"1,008",IF(I8=4,"1,012",IF(I8=5,"1,016",IF(I8=6,"1,02",IF(I8=7,"1,024",IF(I8=8,"1,028",IF(I8=9,"1,032",IF(I8=10,"1,036",IF(I8=11,"1,04",IF(I8=12,"1,044",IF(I8=13,"1,048",IF(I8=14,"1,052",IF(I8=15,"1,056",IF(I8=16,"1,06",))))))))))))))))</f>
        <v>1,036</v>
      </c>
    </row>
    <row r="9" spans="1:10" ht="15.75" thickBot="1">
      <c r="E9" s="8" t="s">
        <v>16</v>
      </c>
      <c r="F9" s="11">
        <v>10</v>
      </c>
      <c r="G9" s="12" t="str">
        <f>IF(F9=1,"1,00",IF(F9=2,"1,004",IF(F9=3,"1,008",IF(F9=4,"1,012",IF(F9=5,"1,016",IF(F9=6,"1,020",IF(F9=7,"1,024",IF(F9=8,"1,028",IF(F9=9,"1,032",IF(F9=10,"1,036",IF(F9=11,"1,040",IF(F9=12,"1,044",IF(F9=13,"1,048",IF(F9=14,"1,052",IF(F9=15,"1,056",IF(F9=16,"1,06",))))))))))))))))</f>
        <v>1,036</v>
      </c>
      <c r="H9" s="8" t="s">
        <v>16</v>
      </c>
      <c r="I9" s="11">
        <v>10</v>
      </c>
      <c r="J9" s="12" t="str">
        <f>IF(I9=1,"1,00",IF(I9=2,"1,004",IF(I9=3,"1,008",IF(I9=4,"1,012",IF(I9=5,"1,016",IF(I9=6,"1,020",IF(I9=7,"1,024",IF(I9=8,"1,028",IF(I9=9,"1,032",IF(I9=10,"1,036",IF(I9=11,"1,040",IF(I9=12,"1,044",IF(I9=13,"1,048",IF(I9=14,"1,052",IF(I9=15,"1,056",IF(I9=16,"1,06",))))))))))))))))</f>
        <v>1,036</v>
      </c>
    </row>
    <row r="10" spans="1:10" ht="17.25" thickTop="1" thickBot="1">
      <c r="A10" s="1"/>
      <c r="B10" s="66" t="s">
        <v>11</v>
      </c>
      <c r="C10" s="67" t="s">
        <v>10</v>
      </c>
      <c r="E10" s="8" t="s">
        <v>70</v>
      </c>
      <c r="F10" s="11">
        <v>16</v>
      </c>
      <c r="G10" s="12" t="str">
        <f>IF(F10=1,"1,00",IF(F10=2,"1,004",IF(F10=3,"1,008",IF(F10=4,"1,012",IF(F10=5,"1,016",IF(F10=6,"1,020",IF(F10=7,"1,024",IF(F10=8,"1,028",IF(F10=9,"1,032",IF(F10=10,"1,036",IF(F10=11,"1,04",IF(F10=12,"1,044",IF(F10=13,"1,048",IF(F10=14,"1,052",IF(F10=15,"1,056",IF(F10=16,"1,06",))))))))))))))))</f>
        <v>1,06</v>
      </c>
      <c r="H10" s="8" t="s">
        <v>70</v>
      </c>
      <c r="I10" s="11">
        <v>16</v>
      </c>
      <c r="J10" s="12" t="str">
        <f>IF(I10=1,"1,00",IF(I10=2,"1,004",IF(I10=3,"1,008",IF(I10=4,"1,012",IF(I10=5,"1,016",IF(I10=6,"1,020",IF(I10=7,"1,024",IF(I10=8,"1,028",IF(I10=9,"1,032",IF(I10=10,"1,036",IF(I10=11,"1,04",IF(I10=12,"1,044",IF(I10=13,"1,048",IF(I10=14,"1,052",IF(I10=15,"1,056",IF(I10=16,"1,06",))))))))))))))))</f>
        <v>1,06</v>
      </c>
    </row>
    <row r="11" spans="1:10" ht="15.75">
      <c r="A11" s="18" t="s">
        <v>47</v>
      </c>
      <c r="B11" s="3">
        <f>$B$7</f>
        <v>1590</v>
      </c>
      <c r="C11" s="30">
        <f>$C$7</f>
        <v>1590</v>
      </c>
      <c r="E11" s="13" t="s">
        <v>71</v>
      </c>
      <c r="F11" s="14">
        <v>1</v>
      </c>
      <c r="G11" s="15" t="str">
        <f>IF(F11=1,"1,00",IF(F11=2,"1,002",IF(F11=3,"1,004",IF(F11=4,"1,006",IF(F11=5,"1,08",IF(F11=6,"1,010",IF(F11=7,"1,012",IF(F11=8,"1,014",IF(F11=9,"1,016",IF(F11=10,"1,018",IF(F11=11,"1,020",IF(F11=12,"1,022",IF(F11=13,"1,024",IF(F11=14,"1,026",IF(F11=15,"1,028",IF(F11=16,"1,030"))))))))))))))))</f>
        <v>1,00</v>
      </c>
      <c r="H11" s="13" t="s">
        <v>71</v>
      </c>
      <c r="I11" s="14">
        <v>1</v>
      </c>
      <c r="J11" s="15" t="str">
        <f>IF(I11=1,"1,00",IF(I11=2,"1,002",IF(I11=3,"1,004",IF(I11=4,"1,006",IF(I11=5,"1,08",IF(I11=6,"1,010",IF(I11=7,"1,012",IF(I11=8,"1,014",IF(I11=9,"1,016",IF(I11=10,"1,018",IF(I11=11,"1,020",IF(I11=12,"1,022",IF(I11=13,"1,024",IF(I11=14,"1,026",IF(I11=15,"1,028",IF(I11=16,"1,030"))))))))))))))))</f>
        <v>1,00</v>
      </c>
    </row>
    <row r="12" spans="1:10" ht="15.75">
      <c r="A12" s="8" t="s">
        <v>90</v>
      </c>
      <c r="B12" s="31">
        <f>(F13+I13+F22+I22+F31+I31+I39+F40+F49+I48)*_!N1</f>
        <v>4348.713600000001</v>
      </c>
      <c r="C12" s="32">
        <f>(G13+J13+J22+G22+G31+J31+G40+G49)*_!N1</f>
        <v>1823.3600000000004</v>
      </c>
      <c r="E12" s="8" t="s">
        <v>72</v>
      </c>
      <c r="F12" s="11">
        <v>6</v>
      </c>
      <c r="G12" s="10" t="str">
        <f>IF(F12=1,"1,00",IF(F12=2,"1,02",IF(F12=3,"1,04",IF(F12=4,"1,06",IF(F12=5,"1,08",IF(F12=6,"1,10"))))))</f>
        <v>1,10</v>
      </c>
      <c r="H12" s="8" t="s">
        <v>78</v>
      </c>
      <c r="I12" s="11">
        <v>6</v>
      </c>
      <c r="J12" s="10" t="str">
        <f>IF(I12=1,"1,00",IF(I12=2,"1,02",IF(I12=3,"1,04",IF(I12=4,"1,06",IF(I12=5,"1,08",IF(I12=6,"1,10"))))))</f>
        <v>1,10</v>
      </c>
    </row>
    <row r="13" spans="1:10" ht="16.5" thickBot="1">
      <c r="A13" s="19" t="s">
        <v>91</v>
      </c>
      <c r="B13" s="42">
        <f>B11+B12</f>
        <v>5938.713600000001</v>
      </c>
      <c r="C13" s="43">
        <f>B11+C12</f>
        <v>3413.3600000000006</v>
      </c>
      <c r="E13" s="16" t="s">
        <v>67</v>
      </c>
      <c r="F13" s="35">
        <f>((G6*G8)+(G7*G9))*G10*G12</f>
        <v>483.19040000000012</v>
      </c>
      <c r="G13" s="36">
        <f>(G6*G8)*G11*G12</f>
        <v>227.92000000000004</v>
      </c>
      <c r="H13" s="16" t="s">
        <v>67</v>
      </c>
      <c r="I13" s="35">
        <f>((J6*J8)+(J7*J9))*J10*J12</f>
        <v>483.19040000000012</v>
      </c>
      <c r="J13" s="36">
        <f>(J6*J8)*J11*J12</f>
        <v>227.92000000000004</v>
      </c>
    </row>
    <row r="14" spans="1:10" ht="16.5" thickBot="1">
      <c r="E14" s="4" t="s">
        <v>68</v>
      </c>
      <c r="F14" s="5"/>
      <c r="G14" s="6" t="str">
        <f>IF(_!C5=1,"0",IF(_!C5=2,"1",IF(_!C5=3,"2")))</f>
        <v>2</v>
      </c>
      <c r="H14" s="4" t="s">
        <v>81</v>
      </c>
      <c r="I14" s="5"/>
      <c r="J14" s="82" t="str">
        <f>IF(_!C10=1,"0",IF(_!C10=2,"1",IF(_!C10=3,"2")))</f>
        <v>2</v>
      </c>
    </row>
    <row r="15" spans="1:10" ht="15.75">
      <c r="A15" s="37" t="s">
        <v>23</v>
      </c>
      <c r="B15" s="38">
        <f>B13*1.04</f>
        <v>6176.2621440000012</v>
      </c>
      <c r="C15" s="39">
        <f>C13*1.04</f>
        <v>3549.8944000000006</v>
      </c>
      <c r="E15" s="8" t="s">
        <v>64</v>
      </c>
      <c r="G15" s="17">
        <f>IF(_!I4=1,"100",IF(_!I4=2,"150",IF(_!I4=3,"200")))*IF(_!C5&gt;1,"1")</f>
        <v>200</v>
      </c>
      <c r="H15" s="8" t="s">
        <v>64</v>
      </c>
      <c r="J15" s="17">
        <f>IF(_!J4=1,"100",IF(_!J4=2,"150",IF(_!J4=3,"200")))*IF(_!C10&gt;1,"1")</f>
        <v>200</v>
      </c>
    </row>
    <row r="16" spans="1:10" ht="15.75">
      <c r="A16" s="8" t="s">
        <v>24</v>
      </c>
      <c r="B16" s="28">
        <f>B13*1.12</f>
        <v>6651.3592320000016</v>
      </c>
      <c r="C16" s="32">
        <f>C13*1.12</f>
        <v>3822.9632000000011</v>
      </c>
      <c r="E16" s="8" t="s">
        <v>69</v>
      </c>
      <c r="F16" s="9">
        <v>0</v>
      </c>
      <c r="G16" s="17">
        <f>IF(_!I5=1,"100",IF(_!I5=2,"150",IF(_!I5=3,"200")))*IF(_!C5=3,"1")</f>
        <v>200</v>
      </c>
      <c r="H16" s="8" t="s">
        <v>77</v>
      </c>
      <c r="I16" s="9">
        <v>0</v>
      </c>
      <c r="J16" s="17">
        <f>IF(_!J5=1,"100",IF(_!J5=2,"150",IF(_!J5=3,"200")))*IF(_!C10=3,"1")</f>
        <v>200</v>
      </c>
    </row>
    <row r="17" spans="1:11" ht="15.75">
      <c r="A17" s="8" t="s">
        <v>17</v>
      </c>
      <c r="B17" s="28">
        <f>B13*1.6</f>
        <v>9501.9417600000015</v>
      </c>
      <c r="C17" s="32">
        <f>C13*1.6</f>
        <v>5461.3760000000011</v>
      </c>
      <c r="E17" s="8" t="s">
        <v>65</v>
      </c>
      <c r="F17" s="11">
        <v>10</v>
      </c>
      <c r="G17" s="12" t="str">
        <f>IF(F17=1,"1,00",IF(F17=2,"1,004",IF(F17=3,"1,008",IF(F17=4,"1,012",IF(F17=5,"1,016",IF(F17=6,"1,02",IF(F17=7,"1,024",IF(F17=8,"1,028",IF(F17=9,"1,032",IF(F17=10,"1,036",IF(F17=11,"1,04",IF(F17=12,"1,044",IF(F17=13,"1,048",IF(F17=14,"1,052",IF(F17=15,"1,056",IF(F17=16,"1,06",))))))))))))))))</f>
        <v>1,036</v>
      </c>
      <c r="H17" s="8" t="s">
        <v>65</v>
      </c>
      <c r="I17" s="11">
        <v>10</v>
      </c>
      <c r="J17" s="12" t="str">
        <f>IF(I17=1,"1,00",IF(I17=2,"1,004",IF(I17=3,"1,008",IF(I17=4,"1,012",IF(I17=5,"1,016",IF(I17=6,"1,02",IF(I17=7,"1,024",IF(I17=8,"1,028",IF(I17=9,"1,032",IF(I17=10,"1,036",IF(I17=11,"1,04",IF(I17=12,"1,044",IF(I17=13,"1,048",IF(I17=14,"1,052",IF(I17=15,"1,056",IF(I17=16,"1,06",))))))))))))))))</f>
        <v>1,036</v>
      </c>
    </row>
    <row r="18" spans="1:11" ht="15.75">
      <c r="A18" s="8" t="s">
        <v>18</v>
      </c>
      <c r="B18" s="28">
        <f>B13*1.05</f>
        <v>6235.6492800000015</v>
      </c>
      <c r="C18" s="32">
        <f>C13*1.05</f>
        <v>3584.0280000000007</v>
      </c>
      <c r="E18" s="8" t="s">
        <v>16</v>
      </c>
      <c r="F18" s="11">
        <v>10</v>
      </c>
      <c r="G18" s="12" t="str">
        <f>IF(F18=1,"1,00",IF(F18=2,"1,004",IF(F18=3,"1,008",IF(F18=4,"1,012",IF(F18=5,"1,016",IF(F18=6,"1,020",IF(F18=7,"1,024",IF(F18=8,"1,028",IF(F18=9,"1,032",IF(F18=10,"1,036",IF(F18=11,"1,040",IF(F18=12,"1,044",IF(F18=13,"1,048",IF(F18=14,"1,052",IF(F18=15,"1,056",IF(F18=16,"1,06",))))))))))))))))</f>
        <v>1,036</v>
      </c>
      <c r="H18" s="8" t="s">
        <v>16</v>
      </c>
      <c r="I18" s="11">
        <v>10</v>
      </c>
      <c r="J18" s="12" t="str">
        <f>IF(I18=1,"1,00",IF(I18=2,"1,004",IF(I18=3,"1,008",IF(I18=4,"1,012",IF(I18=5,"1,016",IF(I18=6,"1,020",IF(I18=7,"1,024",IF(I18=8,"1,028",IF(I18=9,"1,032",IF(I18=10,"1,036",IF(I18=11,"1,040",IF(I18=12,"1,044",IF(I18=13,"1,048",IF(I18=14,"1,052",IF(I18=15,"1,056",IF(I18=16,"1,06",))))))))))))))))</f>
        <v>1,036</v>
      </c>
    </row>
    <row r="19" spans="1:11" ht="15.75">
      <c r="A19" s="8" t="s">
        <v>19</v>
      </c>
      <c r="B19" s="28">
        <f>B13*1.1</f>
        <v>6532.584960000002</v>
      </c>
      <c r="C19" s="32">
        <f>C13*1.1</f>
        <v>3754.6960000000008</v>
      </c>
      <c r="E19" s="8" t="s">
        <v>70</v>
      </c>
      <c r="F19" s="11">
        <v>16</v>
      </c>
      <c r="G19" s="12" t="str">
        <f>IF(F19=1,"1,00",IF(F19=2,"1,004",IF(F19=3,"1,008",IF(F19=4,"1,012",IF(F19=5,"1,016",IF(F19=6,"1,020",IF(F19=7,"1,024",IF(F19=8,"1,028",IF(F19=9,"1,032",IF(F19=10,"1,036",IF(F19=11,"1,04",IF(F19=12,"1,044",IF(F19=13,"1,048",IF(F19=14,"1,052",IF(F19=15,"1,056",IF(F19=16,"1,06",))))))))))))))))</f>
        <v>1,06</v>
      </c>
      <c r="H19" s="8" t="s">
        <v>70</v>
      </c>
      <c r="I19" s="11">
        <v>16</v>
      </c>
      <c r="J19" s="12" t="str">
        <f>IF(I19=1,"1,00",IF(I19=2,"1,004",IF(I19=3,"1,008",IF(I19=4,"1,012",IF(I19=5,"1,016",IF(I19=6,"1,020",IF(I19=7,"1,024",IF(I19=8,"1,028",IF(I19=9,"1,032",IF(I19=10,"1,036",IF(I19=11,"1,04",IF(I19=12,"1,044",IF(I19=13,"1,048",IF(I19=14,"1,052",IF(I19=15,"1,056",IF(I19=16,"1,06",))))))))))))))))</f>
        <v>1,06</v>
      </c>
    </row>
    <row r="20" spans="1:11" ht="16.5" thickBot="1">
      <c r="A20" s="19" t="s">
        <v>20</v>
      </c>
      <c r="B20" s="77">
        <f>B13*1.1</f>
        <v>6532.584960000002</v>
      </c>
      <c r="C20" s="43">
        <f>C13*1.1</f>
        <v>3754.6960000000008</v>
      </c>
      <c r="E20" s="13" t="s">
        <v>71</v>
      </c>
      <c r="F20" s="14">
        <v>1</v>
      </c>
      <c r="G20" s="15" t="str">
        <f>IF(F20=1,"1,00",IF(F20=2,"1,002",IF(F20=3,"1,004",IF(F20=4,"1,006",IF(F20=5,"1,08",IF(F20=6,"1,010",IF(F20=7,"1,012",IF(F20=8,"1,014",IF(F20=9,"1,016",IF(F20=10,"1,018",IF(F20=11,"1,020",IF(F20=12,"1,022",IF(F20=13,"1,024",IF(F20=14,"1,026",IF(F20=15,"1,028",IF(F20=16,"1,030"))))))))))))))))</f>
        <v>1,00</v>
      </c>
      <c r="H20" s="13" t="s">
        <v>71</v>
      </c>
      <c r="I20" s="14">
        <v>1</v>
      </c>
      <c r="J20" s="15" t="str">
        <f>IF(I20=1,"1,00",IF(I20=2,"1,002",IF(I20=3,"1,004",IF(I20=4,"1,006",IF(I20=5,"1,08",IF(I20=6,"1,010",IF(I20=7,"1,012",IF(I20=8,"1,014",IF(I20=9,"1,016",IF(I20=10,"1,018",IF(I20=11,"1,020",IF(I20=12,"1,022",IF(I20=13,"1,024",IF(I20=14,"1,026",IF(I20=15,"1,028",IF(I20=16,"1,030"))))))))))))))))</f>
        <v>1,00</v>
      </c>
    </row>
    <row r="21" spans="1:11" ht="15.75" thickBot="1">
      <c r="A21" s="76"/>
      <c r="B21" s="76"/>
      <c r="C21" s="76"/>
      <c r="E21" s="8" t="s">
        <v>73</v>
      </c>
      <c r="F21" s="11">
        <v>6</v>
      </c>
      <c r="G21" s="10" t="str">
        <f>IF(F21=1,"1,00",IF(F21=2,"1,02",IF(F21=3,"1,04",IF(F21=4,"1,06",IF(F21=5,"1,08",IF(F21=6,"1,10"))))))</f>
        <v>1,10</v>
      </c>
      <c r="H21" s="8" t="s">
        <v>78</v>
      </c>
      <c r="I21" s="11">
        <v>6</v>
      </c>
      <c r="J21" s="10" t="str">
        <f>IF(I21=1,"1,00",IF(I21=2,"1,02",IF(I21=3,"1,04",IF(I21=4,"1,06",IF(I21=5,"1,08",IF(I21=6,"1,10"))))))</f>
        <v>1,10</v>
      </c>
    </row>
    <row r="22" spans="1:11" ht="16.5" thickBot="1">
      <c r="A22" s="40" t="s">
        <v>25</v>
      </c>
      <c r="B22" s="38">
        <f>B15</f>
        <v>6176.2621440000012</v>
      </c>
      <c r="C22" s="39">
        <f>C15</f>
        <v>3549.8944000000006</v>
      </c>
      <c r="E22" s="16" t="s">
        <v>67</v>
      </c>
      <c r="F22" s="35">
        <f>((G15*G17)+(G16*G18))*G19*G21</f>
        <v>483.19040000000012</v>
      </c>
      <c r="G22" s="36">
        <f>(G15*G17)*G20*G21</f>
        <v>227.92000000000004</v>
      </c>
      <c r="H22" s="16" t="s">
        <v>67</v>
      </c>
      <c r="I22" s="35">
        <f>((J15*J17)+(J16*J18))*J19*J21</f>
        <v>483.19040000000012</v>
      </c>
      <c r="J22" s="36">
        <f>(J15*J17)*J20*J21</f>
        <v>227.92000000000004</v>
      </c>
    </row>
    <row r="23" spans="1:11" ht="15.75">
      <c r="A23" s="41" t="s">
        <v>48</v>
      </c>
      <c r="B23" s="28">
        <f>B13*1.12</f>
        <v>6651.3592320000016</v>
      </c>
      <c r="C23" s="32">
        <f>C13*1.16</f>
        <v>3959.4976000000006</v>
      </c>
      <c r="E23" s="4" t="s">
        <v>74</v>
      </c>
      <c r="F23" s="5"/>
      <c r="G23" s="82" t="str">
        <f>IF(_!C6=1,"0",IF(_!C6=2,"1",IF(_!C6=3,"2")))</f>
        <v>2</v>
      </c>
      <c r="H23" s="20" t="s">
        <v>82</v>
      </c>
      <c r="I23" s="5"/>
      <c r="J23" s="82" t="str">
        <f>IF(_!C11=1,"0",IF(_!C11=2,"1",IF(_!C11=3,"2")))</f>
        <v>2</v>
      </c>
    </row>
    <row r="24" spans="1:11" ht="15.75">
      <c r="A24" s="41" t="s">
        <v>49</v>
      </c>
      <c r="B24" s="28">
        <f>B13*1.12*1.6</f>
        <v>10642.174771200003</v>
      </c>
      <c r="C24" s="32">
        <f>C13*1.16*1.6</f>
        <v>6335.1961600000013</v>
      </c>
      <c r="E24" s="8" t="s">
        <v>64</v>
      </c>
      <c r="G24" s="17">
        <f>IF(_!I7=1,"100",IF(_!I7=2,"150",IF(_!I7=3,"200")))*IF(_!C6&gt;1,"1")</f>
        <v>200</v>
      </c>
      <c r="H24" s="8" t="s">
        <v>64</v>
      </c>
      <c r="J24" s="17">
        <f>IF(_!J7=1,"100",IF(_!J7=2,"150",IF(_!J7=3,"200")))*IF(_!C11&gt;1,"1")</f>
        <v>200</v>
      </c>
      <c r="K24" s="84"/>
    </row>
    <row r="25" spans="1:11" ht="15" customHeight="1">
      <c r="A25" s="27" t="s">
        <v>50</v>
      </c>
      <c r="B25" s="28">
        <f>B13*1.12*1.6*1.05</f>
        <v>11174.283509760004</v>
      </c>
      <c r="C25" s="32">
        <f>C13*1.16*1.6*1.05</f>
        <v>6651.955968000002</v>
      </c>
      <c r="E25" s="8" t="s">
        <v>69</v>
      </c>
      <c r="F25" s="9">
        <v>0</v>
      </c>
      <c r="G25" s="17">
        <f>IF(_!I8=1,"100",IF(_!I8=2,"150",IF(_!I8=3,"200")))*IF(_!C6=3,"1")</f>
        <v>200</v>
      </c>
      <c r="H25" s="8" t="s">
        <v>77</v>
      </c>
      <c r="I25" s="9">
        <v>0</v>
      </c>
      <c r="J25" s="17">
        <f>IF(_!J8=1,"100",IF(_!J8=2,"150",IF(_!J8=3,"200")))*IF(_!C11=3,"1")</f>
        <v>200</v>
      </c>
    </row>
    <row r="26" spans="1:11" ht="15.75">
      <c r="A26" s="27" t="s">
        <v>51</v>
      </c>
      <c r="B26" s="28">
        <f>B13*1.12*1.6*1.05*1.1</f>
        <v>12291.711860736004</v>
      </c>
      <c r="C26" s="32">
        <f>C13*1.16*1.6*1.05*1.1</f>
        <v>7317.1515648000031</v>
      </c>
      <c r="E26" s="8" t="s">
        <v>65</v>
      </c>
      <c r="F26" s="11">
        <v>10</v>
      </c>
      <c r="G26" s="12" t="str">
        <f>IF(F26=1,"1,00",IF(F26=2,"1,004",IF(F26=3,"1,008",IF(F26=4,"1,012",IF(F26=5,"1,016",IF(F26=6,"1,02",IF(F26=7,"1,024",IF(F26=8,"1,028",IF(F26=9,"1,032",IF(F26=10,"1,036",IF(F26=11,"1,04",IF(F26=12,"1,044",IF(F26=13,"1,048",IF(F26=14,"1,052",IF(F26=15,"1,056",IF(F26=16,"1,06",))))))))))))))))</f>
        <v>1,036</v>
      </c>
      <c r="H26" s="8" t="s">
        <v>65</v>
      </c>
      <c r="I26" s="11">
        <v>10</v>
      </c>
      <c r="J26" s="12" t="str">
        <f>IF(I26=1,"1,00",IF(I26=2,"1,004",IF(I26=3,"1,008",IF(I26=4,"1,012",IF(I26=5,"1,016",IF(I26=6,"1,02",IF(I26=7,"1,024",IF(I26=8,"1,028",IF(I26=9,"1,032",IF(I26=10,"1,036",IF(I26=11,"1,04",IF(I26=12,"1,044",IF(I26=13,"1,048",IF(I26=14,"1,052",IF(I26=15,"1,056",IF(I26=16,"1,06",))))))))))))))))</f>
        <v>1,036</v>
      </c>
    </row>
    <row r="27" spans="1:11" ht="15.75">
      <c r="A27" s="48" t="s">
        <v>52</v>
      </c>
      <c r="B27" s="49">
        <f>B13*1.12*1.6*1.05*1.2</f>
        <v>13409.140211712003</v>
      </c>
      <c r="C27" s="50">
        <f>C13*1.16*1.6*1.05*1.2</f>
        <v>7982.3471616000024</v>
      </c>
      <c r="E27" s="8" t="s">
        <v>16</v>
      </c>
      <c r="F27" s="11">
        <v>10</v>
      </c>
      <c r="G27" s="12" t="str">
        <f>IF(F27=1,"1,00",IF(F27=2,"1,004",IF(F27=3,"1,008",IF(F27=4,"1,012",IF(F27=5,"1,016",IF(F27=6,"1,020",IF(F27=7,"1,024",IF(F27=8,"1,028",IF(F27=9,"1,032",IF(F27=10,"1,036",IF(F27=11,"1,040",IF(F27=12,"1,044",IF(F27=13,"1,048",IF(F27=14,"1,052",IF(F27=15,"1,056",IF(F27=16,"1,06",))))))))))))))))</f>
        <v>1,036</v>
      </c>
      <c r="H27" s="8" t="s">
        <v>16</v>
      </c>
      <c r="I27" s="11">
        <v>10</v>
      </c>
      <c r="J27" s="12" t="str">
        <f>IF(I27=1,"1,00",IF(I27=2,"1,004",IF(I27=3,"1,008",IF(I27=4,"1,012",IF(I27=5,"1,016",IF(I27=6,"1,020",IF(I27=7,"1,024",IF(I27=8,"1,028",IF(I27=9,"1,032",IF(I27=10,"1,036",IF(I27=11,"1,040",IF(I27=12,"1,044",IF(I27=13,"1,048",IF(I27=14,"1,052",IF(I27=15,"1,056",IF(I27=16,"1,06",))))))))))))))))</f>
        <v>1,036</v>
      </c>
    </row>
    <row r="28" spans="1:11" ht="15.75" thickBot="1">
      <c r="E28" s="8" t="s">
        <v>70</v>
      </c>
      <c r="F28" s="11">
        <v>16</v>
      </c>
      <c r="G28" s="12" t="str">
        <f>IF(F28=1,"1,00",IF(F28=2,"1,004",IF(F28=3,"1,008",IF(F28=4,"1,012",IF(F28=5,"1,016",IF(F28=6,"1,020",IF(F28=7,"1,024",IF(F28=8,"1,028",IF(F28=9,"1,032",IF(F28=10,"1,036",IF(F28=11,"1,04",IF(F28=12,"1,044",IF(F28=13,"1,048",IF(F28=14,"1,052",IF(F28=15,"1,056",IF(F28=16,"1,06",))))))))))))))))</f>
        <v>1,06</v>
      </c>
      <c r="H28" s="8" t="s">
        <v>70</v>
      </c>
      <c r="I28" s="11">
        <v>16</v>
      </c>
      <c r="J28" s="12" t="str">
        <f>IF(I28=1,"1,00",IF(I28=2,"1,004",IF(I28=3,"1,008",IF(I28=4,"1,012",IF(I28=5,"1,016",IF(I28=6,"1,020",IF(I28=7,"1,024",IF(I28=8,"1,028",IF(I28=9,"1,032",IF(I28=10,"1,036",IF(I28=11,"1,04",IF(I28=12,"1,044",IF(I28=13,"1,048",IF(I28=14,"1,052",IF(I28=15,"1,056",IF(I28=16,"1,06",))))))))))))))))</f>
        <v>1,06</v>
      </c>
    </row>
    <row r="29" spans="1:11">
      <c r="A29" s="97" t="s">
        <v>53</v>
      </c>
      <c r="B29" s="98"/>
      <c r="C29" s="99"/>
      <c r="E29" s="13" t="s">
        <v>75</v>
      </c>
      <c r="F29" s="14">
        <v>1</v>
      </c>
      <c r="G29" s="15" t="str">
        <f>IF(F29=1,"1,00",IF(F29=2,"1,002",IF(F29=3,"1,004",IF(F29=4,"1,006",IF(F29=5,"1,08",IF(F29=6,"1,010",IF(F29=7,"1,012",IF(F29=8,"1,014",IF(F29=9,"1,016",IF(F29=10,"1,018",IF(F29=11,"1,020",IF(F29=12,"1,022",IF(F29=13,"1,024",IF(F29=14,"1,026",IF(F29=15,"1,028",IF(F29=16,"1,030"))))))))))))))))</f>
        <v>1,00</v>
      </c>
      <c r="H29" s="13" t="s">
        <v>71</v>
      </c>
      <c r="I29" s="14">
        <v>1</v>
      </c>
      <c r="J29" s="15" t="str">
        <f>IF(I29=1,"1,00",IF(I29=2,"1,002",IF(I29=3,"1,004",IF(I29=4,"1,006",IF(I29=5,"1,08",IF(I29=6,"1,010",IF(I29=7,"1,012",IF(I29=8,"1,014",IF(I29=9,"1,016",IF(I29=10,"1,018",IF(I29=11,"1,020",IF(I29=12,"1,022",IF(I29=13,"1,024",IF(I29=14,"1,026",IF(I29=15,"1,028",IF(I29=16,"1,030"))))))))))))))))</f>
        <v>1,00</v>
      </c>
    </row>
    <row r="30" spans="1:11" ht="15.75" customHeight="1">
      <c r="A30" s="71" t="s">
        <v>54</v>
      </c>
      <c r="B30" s="72">
        <f>B27</f>
        <v>13409.140211712003</v>
      </c>
      <c r="C30" s="73">
        <f>C27</f>
        <v>7982.3471616000024</v>
      </c>
      <c r="E30" s="8" t="s">
        <v>72</v>
      </c>
      <c r="F30" s="11">
        <v>6</v>
      </c>
      <c r="G30" s="10" t="str">
        <f>IF(F30=1,"1,00",IF(F30=2,"1,02",IF(F30=3,"1,04",IF(F30=4,"1,06",IF(F30=5,"1,08",IF(F30=6,"1,10"))))))</f>
        <v>1,10</v>
      </c>
      <c r="H30" s="8" t="s">
        <v>72</v>
      </c>
      <c r="I30" s="11">
        <v>6</v>
      </c>
      <c r="J30" s="10" t="str">
        <f>IF(I30=1,"1,00",IF(I30=2,"1,02",IF(I30=3,"1,04",IF(I30=4,"1,06",IF(I30=5,"1,08",IF(I30=6,"1,10"))))))</f>
        <v>1,10</v>
      </c>
    </row>
    <row r="31" spans="1:11" ht="15.75" customHeight="1" thickBot="1">
      <c r="A31" s="46" t="s">
        <v>55</v>
      </c>
      <c r="B31" s="44">
        <f>(B13*1.12*1.6*1.05*1.2)*2</f>
        <v>26818.280423424007</v>
      </c>
      <c r="C31" s="45">
        <f>(C13*1.16*1.6*1.05*1.2)*2</f>
        <v>15964.694323200005</v>
      </c>
      <c r="E31" s="16" t="s">
        <v>67</v>
      </c>
      <c r="F31" s="35">
        <f>((G24*G26)+(G25*G27))*G28*G30</f>
        <v>483.19040000000012</v>
      </c>
      <c r="G31" s="36">
        <f>(G24*G26)*G29*G30</f>
        <v>227.92000000000004</v>
      </c>
      <c r="H31" s="16" t="s">
        <v>67</v>
      </c>
      <c r="I31" s="35">
        <f>((J24*J26)+(J25*J27))*J28*J30</f>
        <v>483.19040000000012</v>
      </c>
      <c r="J31" s="36">
        <f>(J24*J26)*J29*J30</f>
        <v>227.92000000000004</v>
      </c>
    </row>
    <row r="32" spans="1:11" ht="15.75" customHeight="1">
      <c r="A32" s="46" t="s">
        <v>56</v>
      </c>
      <c r="B32" s="44">
        <f>(B13*1.12*1.6*1.05*1.2)*3</f>
        <v>40227.420635136012</v>
      </c>
      <c r="C32" s="45">
        <f>(C13*1.16*1.6*1.05*1.2)*3</f>
        <v>23947.041484800007</v>
      </c>
      <c r="E32" s="4" t="s">
        <v>76</v>
      </c>
      <c r="F32" s="5"/>
      <c r="G32" s="83" t="str">
        <f>IF(_!C7=1,"0",IF(_!C7=2,"1",IF(_!C7=3,"2")))</f>
        <v>2</v>
      </c>
      <c r="H32" s="22" t="s">
        <v>38</v>
      </c>
      <c r="I32" s="100" t="s">
        <v>83</v>
      </c>
      <c r="J32" s="101"/>
    </row>
    <row r="33" spans="1:10" ht="15.75" customHeight="1">
      <c r="A33" s="46" t="s">
        <v>57</v>
      </c>
      <c r="B33" s="44">
        <f>(B13*1.12*1.6*1.05*1.2)*4</f>
        <v>53636.560846848013</v>
      </c>
      <c r="C33" s="45">
        <f>(C13*1.16*1.6*1.05*1.2)*4</f>
        <v>31929.38864640001</v>
      </c>
      <c r="E33" s="8" t="s">
        <v>64</v>
      </c>
      <c r="G33" s="17">
        <f>IF(_!I10=1,"100",IF(_!I10=2,"150",IF(_!I10=3,"200")))*IF(_!C7&gt;1,"1")</f>
        <v>200</v>
      </c>
      <c r="H33" s="8" t="s">
        <v>64</v>
      </c>
      <c r="J33" s="17">
        <f>IF(_!J10=1,"100",IF(_!J10=2,"150",IF(_!J10=3,"200")))*IF(_!C13=TRUE,"1")</f>
        <v>200</v>
      </c>
    </row>
    <row r="34" spans="1:10" ht="15.75" customHeight="1" thickBot="1">
      <c r="A34" s="47" t="s">
        <v>58</v>
      </c>
      <c r="B34" s="29">
        <f>(B13*1.12*1.6*1.05*1.2)*6</f>
        <v>80454.841270272023</v>
      </c>
      <c r="C34" s="33">
        <f>(C13*1.16*1.6*1.05*1.2)*6</f>
        <v>47894.082969600015</v>
      </c>
      <c r="E34" s="8" t="s">
        <v>77</v>
      </c>
      <c r="F34" s="9">
        <v>0</v>
      </c>
      <c r="G34" s="17">
        <f>IF(_!I11=1,"100",IF(_!I11=2,"150",IF(_!I11=3,"200")))*IF(_!C7=3,"1")</f>
        <v>200</v>
      </c>
      <c r="H34" s="8" t="s">
        <v>77</v>
      </c>
      <c r="I34" s="9">
        <v>0</v>
      </c>
      <c r="J34" s="17">
        <f>IF(_!J11=1,"100",IF(_!J11=2,"150",IF(_!J11=3,"200")))*IF(_!C13=TRUE,"1")</f>
        <v>200</v>
      </c>
    </row>
    <row r="35" spans="1:10" ht="15" customHeight="1">
      <c r="E35" s="8" t="s">
        <v>65</v>
      </c>
      <c r="F35" s="11">
        <v>10</v>
      </c>
      <c r="G35" s="12" t="str">
        <f>IF(F35=1,"1,00",IF(F35=2,"1,004",IF(F35=3,"1,008",IF(F35=4,"1,012",IF(F35=5,"1,016",IF(F35=6,"1,02",IF(F35=7,"1,024",IF(F35=8,"1,028",IF(F35=9,"1,032",IF(F35=10,"1,036",IF(F35=11,"1,04",IF(F35=12,"1,044",IF(F35=13,"1,048",IF(F35=14,"1,052",IF(F35=15,"1,056",IF(F35=16,"1,06",))))))))))))))))</f>
        <v>1,036</v>
      </c>
      <c r="H35" s="8" t="s">
        <v>65</v>
      </c>
      <c r="I35" s="11">
        <v>10</v>
      </c>
      <c r="J35" s="12" t="str">
        <f>IF(I35=1,"1,00",IF(I35=2,"1,004",IF(I35=3,"1,008",IF(I35=4,"1,012",IF(I35=5,"1,016",IF(I35=6,"1,02",IF(I35=7,"1,024",IF(I35=8,"1,028",IF(I35=9,"1,032",IF(I35=10,"1,036",IF(I35=11,"1,04",IF(I35=12,"1,044",IF(I35=13,"1,048",IF(I35=14,"1,052",IF(I35=15,"1,056",IF(I35=16,"1,06",))))))))))))))))</f>
        <v>1,036</v>
      </c>
    </row>
    <row r="36" spans="1:10" ht="15" customHeight="1" thickBot="1">
      <c r="A36" s="52" t="s">
        <v>21</v>
      </c>
      <c r="B36" s="51"/>
      <c r="C36" s="51"/>
      <c r="E36" s="8" t="s">
        <v>16</v>
      </c>
      <c r="F36" s="11">
        <v>10</v>
      </c>
      <c r="G36" s="12" t="str">
        <f>IF(F36=1,"1,00",IF(F36=2,"1,004",IF(F36=3,"1,008",IF(F36=4,"1,012",IF(F36=5,"1,016",IF(F36=6,"1,020",IF(F36=7,"1,024",IF(F36=8,"1,028",IF(F36=9,"1,032",IF(F36=10,"1,036",IF(F36=11,"1,040",IF(F36=12,"1,044",IF(F36=13,"1,048",IF(F36=14,"1,052",IF(F36=15,"1,056",IF(F36=16,"1,06",))))))))))))))))</f>
        <v>1,036</v>
      </c>
      <c r="H36" s="8" t="s">
        <v>16</v>
      </c>
      <c r="I36" s="11">
        <v>10</v>
      </c>
      <c r="J36" s="12" t="str">
        <f>IF(I36=1,"1,00",IF(I36=2,"1,004",IF(I36=3,"1,008",IF(I36=4,"1,012",IF(I36=5,"1,016",IF(I36=6,"1,020",IF(I36=7,"1,024",IF(I36=8,"1,028",IF(I36=9,"1,032",IF(I36=10,"1,036",IF(I36=11,"1,040",IF(I36=12,"1,044",IF(I36=13,"1,048",IF(I36=14,"1,052",IF(I36=15,"1,056",IF(I36=16,"1,06",))))))))))))))))</f>
        <v>1,036</v>
      </c>
    </row>
    <row r="37" spans="1:10" ht="15" customHeight="1">
      <c r="A37" s="64" t="s">
        <v>89</v>
      </c>
      <c r="B37" s="54"/>
      <c r="C37" s="51"/>
      <c r="E37" s="8" t="s">
        <v>70</v>
      </c>
      <c r="F37" s="11">
        <v>16</v>
      </c>
      <c r="G37" s="12" t="str">
        <f>IF(F37=1,"1,00",IF(F37=2,"1,004",IF(F37=3,"1,008",IF(F37=4,"1,012",IF(F37=5,"1,016",IF(F37=6,"1,020",IF(F37=7,"1,024",IF(F37=8,"1,028",IF(F37=9,"1,032",IF(F37=10,"1,036",IF(F37=11,"1,04",IF(F37=12,"1,044",IF(F37=13,"1,048",IF(F37=14,"1,052",IF(F37=15,"1,056",IF(F37=16,"1,06",))))))))))))))))</f>
        <v>1,06</v>
      </c>
      <c r="H37" s="8" t="s">
        <v>70</v>
      </c>
      <c r="I37" s="11">
        <v>16</v>
      </c>
      <c r="J37" s="12" t="str">
        <f>IF(I37=1,"1,00",IF(I37=2,"1,004",IF(I37=3,"1,008",IF(I37=4,"1,012",IF(I37=5,"1,016",IF(I37=6,"1,020",IF(I37=7,"1,024",IF(I37=8,"1,028",IF(I37=9,"1,032",IF(I37=10,"1,036",IF(I37=11,"1,04",IF(I37=12,"1,044",IF(I37=13,"1,048",IF(I37=14,"1,052",IF(I37=15,"1,056",IF(I37=16,"1,06",))))))))))))))))</f>
        <v>1,06</v>
      </c>
    </row>
    <row r="38" spans="1:10" ht="15" customHeight="1">
      <c r="A38" s="59" t="s">
        <v>22</v>
      </c>
      <c r="B38" s="61">
        <f>IF(_!L1=1,"1000",IF(_!L1=2,"2000",IF(_!L1=3,"4000",IF(_!L1=4,"6000"))))*1.6</f>
        <v>3200</v>
      </c>
      <c r="C38" s="51"/>
      <c r="E38" s="13" t="s">
        <v>71</v>
      </c>
      <c r="F38" s="14">
        <v>1</v>
      </c>
      <c r="G38" s="15" t="str">
        <f>IF(F38=1,"1,00",IF(F38=2,"1,002",IF(F38=3,"1,004",IF(F38=4,"1,006",IF(F38=5,"1,08",IF(F38=6,"1,010",IF(F38=7,"1,012",IF(F38=8,"1,014",IF(F38=9,"1,016",IF(F38=10,"1,018",IF(F38=11,"1,020",IF(F38=12,"1,022",IF(F38=13,"1,024",IF(F38=14,"1,026",IF(F38=15,"1,028",IF(F38=16,"1,030"))))))))))))))))</f>
        <v>1,00</v>
      </c>
      <c r="H38" s="8" t="s">
        <v>72</v>
      </c>
      <c r="I38" s="11">
        <v>6</v>
      </c>
      <c r="J38" s="10" t="str">
        <f>IF(I38=1,"1,00",IF(I38=2,"1,02",IF(I38=3,"1,04",IF(I38=4,"1,06",IF(I38=5,"1,08",IF(I38=6,"1,10"))))))</f>
        <v>1,10</v>
      </c>
    </row>
    <row r="39" spans="1:10" ht="15.75">
      <c r="A39" s="59" t="s">
        <v>59</v>
      </c>
      <c r="B39" s="62">
        <f>B38*1.05</f>
        <v>3360</v>
      </c>
      <c r="C39" s="51"/>
      <c r="E39" s="8" t="s">
        <v>72</v>
      </c>
      <c r="F39" s="11">
        <v>6</v>
      </c>
      <c r="G39" s="10" t="str">
        <f>IF(F39=1,"1,00",IF(F39=2,"1,02",IF(F39=3,"1,04",IF(F39=4,"1,06",IF(F39=5,"1,08",IF(F39=6,"1,10"))))))</f>
        <v>1,10</v>
      </c>
      <c r="H39" s="81" t="s">
        <v>67</v>
      </c>
      <c r="I39" s="34">
        <f>((J33*J35)+(J34*J36))*J37*J38</f>
        <v>483.19040000000012</v>
      </c>
      <c r="J39" s="88"/>
    </row>
    <row r="40" spans="1:10" ht="16.5" thickBot="1">
      <c r="A40" s="59" t="s">
        <v>60</v>
      </c>
      <c r="B40" s="62">
        <f>B38*1.05*1.15</f>
        <v>3863.9999999999995</v>
      </c>
      <c r="C40" s="51"/>
      <c r="E40" s="16" t="s">
        <v>67</v>
      </c>
      <c r="F40" s="35">
        <f>((G33*G35)+(G34*G36))*G37*G39</f>
        <v>483.19040000000012</v>
      </c>
      <c r="G40" s="36">
        <f>(G33*G35)*G38*G39</f>
        <v>227.92000000000004</v>
      </c>
      <c r="H40" s="85"/>
      <c r="I40" s="86"/>
      <c r="J40" s="87"/>
    </row>
    <row r="41" spans="1:10" ht="15.75">
      <c r="A41" s="59" t="s">
        <v>51</v>
      </c>
      <c r="B41" s="62">
        <f>B38*1.05*1.15*1.1</f>
        <v>4250.3999999999996</v>
      </c>
      <c r="C41" s="51"/>
      <c r="E41" s="21" t="s">
        <v>79</v>
      </c>
      <c r="F41" s="2"/>
      <c r="G41" s="83" t="str">
        <f>IF(_!C8=1,"0",IF(_!C8=2,"1",IF(_!C8=3,"2")))</f>
        <v>2</v>
      </c>
      <c r="H41" s="22" t="s">
        <v>39</v>
      </c>
      <c r="I41" s="100" t="s">
        <v>83</v>
      </c>
      <c r="J41" s="101"/>
    </row>
    <row r="42" spans="1:10" ht="15" customHeight="1" thickBot="1">
      <c r="A42" s="60" t="s">
        <v>61</v>
      </c>
      <c r="B42" s="63">
        <f>B38*1.05*1.15*1.2</f>
        <v>4636.7999999999993</v>
      </c>
      <c r="C42" s="51"/>
      <c r="E42" s="8" t="s">
        <v>64</v>
      </c>
      <c r="G42" s="17">
        <f>IF(_!I13=1,"100",IF(_!I13=2,"150",IF(_!I13=3,"200")))*IF(_!C8&gt;1,"1")</f>
        <v>200</v>
      </c>
      <c r="H42" s="8" t="s">
        <v>64</v>
      </c>
      <c r="J42" s="17">
        <f>IF(_!J13=1,"100",IF(_!J13=2,"150",IF(_!J13=3,"200")))*IF(_!C14=TRUE,"1")</f>
        <v>0</v>
      </c>
    </row>
    <row r="43" spans="1:10" ht="15" customHeight="1">
      <c r="E43" s="8" t="s">
        <v>77</v>
      </c>
      <c r="F43" s="9">
        <v>0</v>
      </c>
      <c r="G43" s="17">
        <f>IF(_!I14=1,"100",IF(_!I14=2,"150",IF(_!I14=3,"200")))*IF(_!C8=3,"1")</f>
        <v>200</v>
      </c>
      <c r="H43" s="8" t="s">
        <v>77</v>
      </c>
      <c r="I43" s="9">
        <v>0</v>
      </c>
      <c r="J43" s="17">
        <f>IF(_!J14=1,"100",IF(_!J14=2,"150",IF(_!J14=3,"200")))*IF(_!C14=TRUE,"1")</f>
        <v>0</v>
      </c>
    </row>
    <row r="44" spans="1:10" ht="15" customHeight="1" thickBot="1">
      <c r="A44" s="53" t="s">
        <v>26</v>
      </c>
      <c r="B44" s="51"/>
      <c r="C44" s="51"/>
      <c r="E44" s="8" t="s">
        <v>65</v>
      </c>
      <c r="F44" s="11">
        <v>10</v>
      </c>
      <c r="G44" s="12" t="str">
        <f>IF(F44=1,"1,00",IF(F44=2,"1,004",IF(F44=3,"1,008",IF(F44=4,"1,012",IF(F44=5,"1,016",IF(F44=6,"1,02",IF(F44=7,"1,024",IF(F44=8,"1,028",IF(F44=9,"1,032",IF(F44=10,"1,036",IF(F44=11,"1,04",IF(F44=12,"1,044",IF(F44=13,"1,048",IF(F44=14,"1,052",IF(F44=15,"1,056",IF(F44=16,"1,06",))))))))))))))))</f>
        <v>1,036</v>
      </c>
      <c r="H44" s="8" t="s">
        <v>65</v>
      </c>
      <c r="I44" s="11">
        <v>1</v>
      </c>
      <c r="J44" s="12" t="str">
        <f>IF(I44=1,"1,00",IF(I44=2,"1,004",IF(I44=3,"1,008",IF(I44=4,"1,012",IF(I44=5,"1,016",IF(I44=6,"1,02",IF(I44=7,"1,024",IF(I44=8,"1,028",IF(I44=9,"1,032",IF(I44=10,"1,036",IF(I44=11,"1,04",IF(I44=12,"1,044",IF(I44=13,"1,048",IF(I44=14,"1,052",IF(I44=15,"1,056",IF(I44=16,"1,06",))))))))))))))))</f>
        <v>1,00</v>
      </c>
    </row>
    <row r="45" spans="1:10" ht="15" customHeight="1">
      <c r="A45" s="64" t="s">
        <v>27</v>
      </c>
      <c r="B45" s="55"/>
      <c r="C45" s="57" t="str">
        <f>IF(_!L6=1,"3",IF(_!L6=2,"5"))</f>
        <v>5</v>
      </c>
      <c r="E45" s="8" t="s">
        <v>16</v>
      </c>
      <c r="F45" s="11">
        <v>10</v>
      </c>
      <c r="G45" s="12" t="str">
        <f>IF(F45=1,"1,00",IF(F45=2,"1,004",IF(F45=3,"1,008",IF(F45=4,"1,012",IF(F45=5,"1,016",IF(F45=6,"1,020",IF(F45=7,"1,024",IF(F45=8,"1,028",IF(F45=9,"1,032",IF(F45=10,"1,036",IF(F45=11,"1,040",IF(F45=12,"1,044",IF(F45=13,"1,048",IF(F45=14,"1,052",IF(F45=15,"1,056",IF(F45=16,"1,06",))))))))))))))))</f>
        <v>1,036</v>
      </c>
      <c r="H45" s="8" t="s">
        <v>16</v>
      </c>
      <c r="I45" s="11">
        <v>1</v>
      </c>
      <c r="J45" s="12" t="str">
        <f>IF(I45=1,"1,00",IF(I45=2,"1,004",IF(I45=3,"1,008",IF(I45=4,"1,012",IF(I45=5,"1,016",IF(I45=6,"1,020",IF(I45=7,"1,024",IF(I45=8,"1,028",IF(I45=9,"1,032",IF(I45=10,"1,036",IF(I45=11,"1,040",IF(I45=12,"1,044",IF(I45=13,"1,048",IF(I45=14,"1,052",IF(I45=15,"1,056",IF(I45=16,"1,06",))))))))))))))))</f>
        <v>1,00</v>
      </c>
    </row>
    <row r="46" spans="1:10" ht="15" customHeight="1">
      <c r="A46" s="65" t="s">
        <v>88</v>
      </c>
      <c r="B46" s="56"/>
      <c r="C46" s="58" t="str">
        <f>IF(_!L9=1,"2400",IF(_!L9=2,"5000"))</f>
        <v>2400</v>
      </c>
      <c r="E46" s="8" t="s">
        <v>70</v>
      </c>
      <c r="F46" s="11">
        <v>16</v>
      </c>
      <c r="G46" s="12" t="str">
        <f>IF(F46=1,"1,00",IF(F46=2,"1,004",IF(F46=3,"1,008",IF(F46=4,"1,012",IF(F46=5,"1,016",IF(F46=6,"1,020",IF(F46=7,"1,024",IF(F46=8,"1,028",IF(F46=9,"1,032",IF(F46=10,"1,036",IF(F46=11,"1,04",IF(F46=12,"1,044",IF(F46=13,"1,048",IF(F46=14,"1,052",IF(F46=15,"1,056",IF(F46=16,"1,06",))))))))))))))))</f>
        <v>1,06</v>
      </c>
      <c r="H46" s="8" t="s">
        <v>70</v>
      </c>
      <c r="I46" s="11">
        <v>1</v>
      </c>
      <c r="J46" s="12" t="str">
        <f>IF(I46=1,"1,00",IF(I46=2,"1,004",IF(I46=3,"1,008",IF(I46=4,"1,012",IF(I46=5,"1,016",IF(I46=6,"1,020",IF(I46=7,"1,024",IF(I46=8,"1,028",IF(I46=9,"1,032",IF(I46=10,"1,036",IF(I46=11,"1,04",IF(I46=12,"1,044",IF(I46=13,"1,048",IF(I46=14,"1,052",IF(I46=15,"1,056",IF(I46=16,"1,06",))))))))))))))))</f>
        <v>1,00</v>
      </c>
    </row>
    <row r="47" spans="1:10" ht="15" customHeight="1">
      <c r="A47" s="74" t="s">
        <v>36</v>
      </c>
      <c r="B47" s="80">
        <v>11</v>
      </c>
      <c r="C47" s="75" t="str">
        <f>IF(B47=1,"1,00",IF(B47=2,"1,004",IF(B47=3,"1,008",IF(B47=4,"1,012",IF(B47=5,"1,016",IF(B47=6,"1,020",IF(B47=7,"1,024",IF(B47=8,"1,028",IF(B47=9,"1,032",IF(B47=10,"1,036",IF(B47=11,"1,040",IF(B47=12,"1,044",IF(B47=13,"1,048",IF(B47=14,"1,052",IF(B47=15,"1,056",IF(B47=16,"1,060",))))))))))))))))</f>
        <v>1,040</v>
      </c>
      <c r="E47" s="13" t="s">
        <v>71</v>
      </c>
      <c r="F47" s="14">
        <v>1</v>
      </c>
      <c r="G47" s="15" t="str">
        <f>IF(F47=1,"1,00",IF(F47=2,"1,002",IF(F47=3,"1,004",IF(F47=4,"1,006",IF(F47=5,"1,08",IF(F47=6,"1,010",IF(F47=7,"1,012",IF(F47=8,"1,014",IF(F47=9,"1,016",IF(F47=10,"1,018",IF(F47=11,"1,020",IF(F47=12,"1,022",IF(F47=13,"1,024",IF(F47=14,"1,026",IF(F47=15,"1,028",IF(F47=16,"1,030"))))))))))))))))</f>
        <v>1,00</v>
      </c>
      <c r="H47" s="8" t="s">
        <v>72</v>
      </c>
      <c r="I47" s="11">
        <v>1</v>
      </c>
      <c r="J47" s="10" t="str">
        <f>IF(I47=1,"1,00",IF(I47=2,"1,02",IF(I47=3,"1,04",IF(I47=4,"1,06",IF(I47=5,"1,08",IF(I47=6,"1,10"))))))</f>
        <v>1,00</v>
      </c>
    </row>
    <row r="48" spans="1:10" ht="15.75">
      <c r="A48" s="78" t="s">
        <v>62</v>
      </c>
      <c r="B48" s="79">
        <f>C45*C46</f>
        <v>12000</v>
      </c>
      <c r="C48" s="89"/>
      <c r="E48" s="8" t="s">
        <v>72</v>
      </c>
      <c r="F48" s="11">
        <v>6</v>
      </c>
      <c r="G48" s="10" t="str">
        <f>IF(F48=1,"1,00",IF(F48=2,"1,02",IF(F48=3,"1,04",IF(F48=4,"1,06",IF(F48=5,"1,08",IF(F48=6,"1,10"))))))</f>
        <v>1,10</v>
      </c>
      <c r="H48" s="81" t="s">
        <v>67</v>
      </c>
      <c r="I48" s="34">
        <f>((J42*J44)+(J43*J45))*J46*J47</f>
        <v>0</v>
      </c>
      <c r="J48" s="88"/>
    </row>
    <row r="49" spans="1:10" ht="16.5" thickBot="1">
      <c r="A49" s="19" t="s">
        <v>63</v>
      </c>
      <c r="B49" s="91">
        <f>B48*C47</f>
        <v>12480</v>
      </c>
      <c r="C49" s="90"/>
      <c r="E49" s="16" t="s">
        <v>67</v>
      </c>
      <c r="F49" s="35">
        <f>((G42*G44)+(G43*G45))*G46*G48</f>
        <v>483.19040000000012</v>
      </c>
      <c r="G49" s="36">
        <f>(G42*G44)*G47*G48</f>
        <v>227.92000000000004</v>
      </c>
      <c r="H49" s="85"/>
      <c r="I49" s="86"/>
      <c r="J49" s="87"/>
    </row>
    <row r="50" spans="1:10" ht="15" customHeight="1"/>
    <row r="51" spans="1:10" ht="15" customHeight="1">
      <c r="C51" s="51"/>
      <c r="D51" s="51"/>
      <c r="E51" s="51"/>
      <c r="F51" s="51"/>
      <c r="G51" s="51"/>
      <c r="H51" s="51"/>
    </row>
    <row r="52" spans="1:10" ht="15" customHeight="1">
      <c r="A52" s="102" t="s">
        <v>85</v>
      </c>
      <c r="B52" s="103"/>
      <c r="C52" s="103"/>
      <c r="D52" s="103"/>
      <c r="E52" s="103"/>
      <c r="F52" s="103"/>
      <c r="G52" s="103"/>
      <c r="H52" s="103"/>
      <c r="I52" s="103"/>
    </row>
    <row r="53" spans="1:10" ht="15" customHeight="1">
      <c r="A53" s="103"/>
      <c r="B53" s="103"/>
      <c r="C53" s="103"/>
      <c r="D53" s="103"/>
      <c r="E53" s="103"/>
      <c r="F53" s="103"/>
      <c r="G53" s="103"/>
      <c r="H53" s="103"/>
      <c r="I53" s="103"/>
    </row>
    <row r="54" spans="1:10" ht="15" customHeight="1">
      <c r="A54" s="103"/>
      <c r="B54" s="103"/>
      <c r="C54" s="103"/>
      <c r="D54" s="103"/>
      <c r="E54" s="103"/>
      <c r="F54" s="103"/>
      <c r="G54" s="103"/>
      <c r="H54" s="103"/>
      <c r="I54" s="103"/>
    </row>
    <row r="55" spans="1:10" ht="15" customHeight="1">
      <c r="A55" s="103"/>
      <c r="B55" s="103"/>
      <c r="C55" s="103"/>
      <c r="D55" s="103"/>
      <c r="E55" s="103"/>
      <c r="F55" s="103"/>
      <c r="G55" s="103"/>
      <c r="H55" s="103"/>
      <c r="I55" s="103"/>
    </row>
    <row r="56" spans="1:10" ht="15" customHeight="1">
      <c r="A56" s="103"/>
      <c r="B56" s="103"/>
      <c r="C56" s="103"/>
      <c r="D56" s="103"/>
      <c r="E56" s="103"/>
      <c r="F56" s="103"/>
      <c r="G56" s="103"/>
      <c r="H56" s="103"/>
      <c r="I56" s="103"/>
    </row>
    <row r="57" spans="1:10" ht="15" customHeight="1">
      <c r="A57" s="103"/>
      <c r="B57" s="103"/>
      <c r="C57" s="103"/>
      <c r="D57" s="103"/>
      <c r="E57" s="103"/>
      <c r="F57" s="103"/>
      <c r="G57" s="103"/>
      <c r="H57" s="103"/>
      <c r="I57" s="103"/>
    </row>
    <row r="58" spans="1:10" ht="15" customHeight="1">
      <c r="A58" s="103"/>
      <c r="B58" s="103"/>
      <c r="C58" s="103"/>
      <c r="D58" s="103"/>
      <c r="E58" s="103"/>
      <c r="F58" s="103"/>
      <c r="G58" s="103"/>
      <c r="H58" s="103"/>
      <c r="I58" s="103"/>
    </row>
    <row r="59" spans="1:10" ht="15" customHeight="1">
      <c r="A59" s="103"/>
      <c r="B59" s="103"/>
      <c r="C59" s="103"/>
      <c r="D59" s="103"/>
      <c r="E59" s="103"/>
      <c r="F59" s="103"/>
      <c r="G59" s="103"/>
      <c r="H59" s="103"/>
      <c r="I59" s="103"/>
    </row>
    <row r="60" spans="1:10" ht="15.75">
      <c r="C60" s="96" t="s">
        <v>86</v>
      </c>
      <c r="D60" s="96"/>
      <c r="E60" s="96"/>
      <c r="F60" s="96"/>
      <c r="G60" s="96"/>
    </row>
    <row r="62" spans="1:10" ht="18.75">
      <c r="B62" s="95" t="s">
        <v>87</v>
      </c>
      <c r="C62" s="95"/>
      <c r="D62" s="95"/>
      <c r="E62" s="95"/>
      <c r="F62" s="95"/>
      <c r="G62" s="95"/>
      <c r="H62" s="95"/>
    </row>
  </sheetData>
  <mergeCells count="6">
    <mergeCell ref="B62:H62"/>
    <mergeCell ref="C60:G60"/>
    <mergeCell ref="A52:I59"/>
    <mergeCell ref="A29:C29"/>
    <mergeCell ref="I41:J41"/>
    <mergeCell ref="I32:J32"/>
  </mergeCells>
  <conditionalFormatting sqref="B5 F7 F16 I7 F25 F34 F43 I25 I16 I43 I34">
    <cfRule type="cellIs" dxfId="13" priority="72" operator="lessThan">
      <formula>0</formula>
    </cfRule>
  </conditionalFormatting>
  <conditionalFormatting sqref="F11:G11 F20:G20 I11:J11 F29:G29 F38:G38 F47:G47 I29:J29 I20:J20">
    <cfRule type="cellIs" dxfId="12" priority="125" operator="equal">
      <formula>$C$5</formula>
    </cfRule>
  </conditionalFormatting>
  <conditionalFormatting sqref="F8:F11 F17:F20 I8:I11 F26:F29 F35:F38 F44:F47 I26:I29 I17:I20 I44:I46 I35:I37">
    <cfRule type="cellIs" dxfId="11" priority="20" operator="greaterThan">
      <formula>16</formula>
    </cfRule>
  </conditionalFormatting>
  <conditionalFormatting sqref="F8:F11 F17:F20 I8:I11 F26:F29 F35:F38 F44:F47 I26:I29 I17:I20 I44:I46 I35:I37">
    <cfRule type="cellIs" dxfId="10" priority="19" operator="greaterThan">
      <formula>17</formula>
    </cfRule>
  </conditionalFormatting>
  <conditionalFormatting sqref="F7 F16 I7 F25 F34 F43 I25 I16 I43 I34">
    <cfRule type="cellIs" dxfId="9" priority="146" operator="greaterThan">
      <formula>$G$5</formula>
    </cfRule>
  </conditionalFormatting>
  <conditionalFormatting sqref="F16 I7 F43 I25 I16 I43 I34">
    <cfRule type="cellIs" dxfId="8" priority="164" operator="greaterThan">
      <formula>$G$14</formula>
    </cfRule>
  </conditionalFormatting>
  <conditionalFormatting sqref="I7">
    <cfRule type="cellIs" dxfId="7" priority="183" operator="greaterThan">
      <formula>$J$5</formula>
    </cfRule>
  </conditionalFormatting>
  <conditionalFormatting sqref="F25">
    <cfRule type="cellIs" dxfId="6" priority="199" operator="greaterThan">
      <formula>$G$23</formula>
    </cfRule>
  </conditionalFormatting>
  <conditionalFormatting sqref="F34">
    <cfRule type="cellIs" dxfId="5" priority="214" operator="greaterThan">
      <formula>$G$32</formula>
    </cfRule>
  </conditionalFormatting>
  <conditionalFormatting sqref="F43">
    <cfRule type="cellIs" dxfId="4" priority="226" operator="greaterThan">
      <formula>$G$41</formula>
    </cfRule>
  </conditionalFormatting>
  <conditionalFormatting sqref="I43 I34">
    <cfRule type="cellIs" dxfId="3" priority="238" operator="greaterThan">
      <formula>$J$41</formula>
    </cfRule>
  </conditionalFormatting>
  <conditionalFormatting sqref="I34">
    <cfRule type="cellIs" dxfId="2" priority="250" operator="greaterThan">
      <formula>$J$32</formula>
    </cfRule>
  </conditionalFormatting>
  <conditionalFormatting sqref="I16">
    <cfRule type="cellIs" dxfId="1" priority="263" operator="greaterThan">
      <formula>$J$14</formula>
    </cfRule>
  </conditionalFormatting>
  <conditionalFormatting sqref="I25">
    <cfRule type="cellIs" dxfId="0" priority="275" operator="greaterThan">
      <formula>$J$23</formula>
    </cfRule>
  </conditionalFormatting>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dimension ref="A1:N14"/>
  <sheetViews>
    <sheetView topLeftCell="A16" workbookViewId="0">
      <selection activeCell="N2" sqref="N2"/>
    </sheetView>
  </sheetViews>
  <sheetFormatPr defaultRowHeight="15"/>
  <cols>
    <col min="1" max="4" width="9.140625" style="92"/>
    <col min="5" max="5" width="15.7109375" style="92" customWidth="1"/>
    <col min="6" max="7" width="9.140625" style="92"/>
    <col min="8" max="8" width="13.7109375" style="92" customWidth="1"/>
    <col min="9" max="10" width="9.140625" style="92"/>
    <col min="11" max="11" width="9.7109375" style="92" customWidth="1"/>
    <col min="12" max="16384" width="9.140625" style="92"/>
  </cols>
  <sheetData>
    <row r="1" spans="1:14">
      <c r="A1" s="92" t="s">
        <v>2</v>
      </c>
      <c r="B1" s="92">
        <v>10</v>
      </c>
      <c r="C1" s="92" t="s">
        <v>37</v>
      </c>
      <c r="D1" s="92">
        <v>1</v>
      </c>
      <c r="E1" s="92" t="s">
        <v>13</v>
      </c>
      <c r="F1" s="92">
        <v>100</v>
      </c>
      <c r="G1" s="92">
        <v>2</v>
      </c>
      <c r="H1" s="92" t="s">
        <v>13</v>
      </c>
      <c r="I1" s="92">
        <v>3</v>
      </c>
      <c r="J1" s="92">
        <v>3</v>
      </c>
      <c r="K1" s="92" t="s">
        <v>28</v>
      </c>
      <c r="L1" s="92">
        <v>2</v>
      </c>
      <c r="M1" s="92">
        <v>2</v>
      </c>
      <c r="N1" s="92" t="str">
        <f>IF(M1=1,"1,1",IF(M1=2,"1"))</f>
        <v>1</v>
      </c>
    </row>
    <row r="2" spans="1:14">
      <c r="A2" s="92" t="s">
        <v>3</v>
      </c>
      <c r="C2" s="92" t="s">
        <v>10</v>
      </c>
      <c r="E2" s="92" t="s">
        <v>14</v>
      </c>
      <c r="F2" s="92">
        <v>150</v>
      </c>
      <c r="H2" s="92" t="s">
        <v>14</v>
      </c>
      <c r="I2" s="92">
        <v>3</v>
      </c>
      <c r="J2" s="92">
        <v>3</v>
      </c>
      <c r="K2" s="92" t="s">
        <v>29</v>
      </c>
    </row>
    <row r="3" spans="1:14">
      <c r="A3" s="92" t="s">
        <v>4</v>
      </c>
      <c r="C3" s="92" t="s">
        <v>11</v>
      </c>
      <c r="E3" s="92" t="s">
        <v>15</v>
      </c>
      <c r="F3" s="92">
        <v>200</v>
      </c>
      <c r="H3" s="92" t="s">
        <v>15</v>
      </c>
      <c r="K3" s="92" t="s">
        <v>30</v>
      </c>
    </row>
    <row r="4" spans="1:14">
      <c r="A4" s="92" t="s">
        <v>5</v>
      </c>
      <c r="C4" s="92">
        <v>3</v>
      </c>
      <c r="I4" s="92">
        <v>3</v>
      </c>
      <c r="J4" s="92">
        <v>3</v>
      </c>
      <c r="K4" s="92" t="s">
        <v>31</v>
      </c>
    </row>
    <row r="5" spans="1:14">
      <c r="A5" s="92" t="s">
        <v>6</v>
      </c>
      <c r="C5" s="92">
        <v>3</v>
      </c>
      <c r="I5" s="92">
        <v>3</v>
      </c>
      <c r="J5" s="92">
        <v>3</v>
      </c>
    </row>
    <row r="6" spans="1:14">
      <c r="A6" s="92" t="s">
        <v>7</v>
      </c>
      <c r="C6" s="92">
        <v>3</v>
      </c>
      <c r="K6" s="92" t="s">
        <v>32</v>
      </c>
      <c r="L6" s="92">
        <v>2</v>
      </c>
    </row>
    <row r="7" spans="1:14">
      <c r="A7" s="92" t="s">
        <v>1</v>
      </c>
      <c r="C7" s="92">
        <v>3</v>
      </c>
      <c r="I7" s="92">
        <v>3</v>
      </c>
      <c r="J7" s="92">
        <v>3</v>
      </c>
      <c r="K7" s="92" t="s">
        <v>33</v>
      </c>
    </row>
    <row r="8" spans="1:14">
      <c r="A8" s="92" t="s">
        <v>8</v>
      </c>
      <c r="C8" s="92">
        <v>3</v>
      </c>
      <c r="I8" s="92">
        <v>3</v>
      </c>
      <c r="J8" s="92">
        <v>3</v>
      </c>
    </row>
    <row r="9" spans="1:14">
      <c r="A9" s="92" t="s">
        <v>9</v>
      </c>
      <c r="C9" s="92">
        <v>3</v>
      </c>
      <c r="K9" s="92" t="s">
        <v>35</v>
      </c>
      <c r="L9" s="92">
        <v>1</v>
      </c>
    </row>
    <row r="10" spans="1:14">
      <c r="A10" s="92" t="s">
        <v>0</v>
      </c>
      <c r="C10" s="92">
        <v>3</v>
      </c>
      <c r="I10" s="92">
        <v>3</v>
      </c>
      <c r="J10" s="92">
        <v>3</v>
      </c>
      <c r="K10" s="92" t="s">
        <v>34</v>
      </c>
    </row>
    <row r="11" spans="1:14">
      <c r="C11" s="92">
        <v>3</v>
      </c>
      <c r="I11" s="92">
        <v>3</v>
      </c>
      <c r="J11" s="92">
        <v>3</v>
      </c>
    </row>
    <row r="13" spans="1:14">
      <c r="C13" s="92" t="b">
        <v>1</v>
      </c>
      <c r="I13" s="92">
        <v>3</v>
      </c>
      <c r="J13" s="92">
        <v>1</v>
      </c>
    </row>
    <row r="14" spans="1:14">
      <c r="C14" s="92" t="b">
        <v>0</v>
      </c>
      <c r="I14" s="92">
        <v>3</v>
      </c>
      <c r="J14" s="92">
        <v>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Tabulky DMG</vt:lpstr>
      <vt:lpstr>_</vt:lpstr>
      <vt:lpstr>List1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Jakub Balaj</dc:creator>
  <cp:lastModifiedBy>DarkOrbit</cp:lastModifiedBy>
  <dcterms:created xsi:type="dcterms:W3CDTF">2012-03-13T23:04:46Z</dcterms:created>
  <dcterms:modified xsi:type="dcterms:W3CDTF">2014-06-10T15:58:59Z</dcterms:modified>
</cp:coreProperties>
</file>